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70" windowHeight="7680" activeTab="0"/>
  </bookViews>
  <sheets>
    <sheet name="инерционный" sheetId="1" r:id="rId1"/>
    <sheet name="инновационный" sheetId="2" r:id="rId2"/>
  </sheets>
  <externalReferences>
    <externalReference r:id="rId5"/>
  </externalReferences>
  <definedNames>
    <definedName name="_xlnm.Print_Titles" localSheetId="0">'инерционный'!$8:$9</definedName>
    <definedName name="_xlnm.Print_Titles" localSheetId="1">'инновационный'!$8:$9</definedName>
    <definedName name="_xlnm.Print_Area" localSheetId="1">'инновационный'!$A$3:$G$519</definedName>
  </definedNames>
  <calcPr fullCalcOnLoad="1"/>
</workbook>
</file>

<file path=xl/comments1.xml><?xml version="1.0" encoding="utf-8"?>
<comments xmlns="http://schemas.openxmlformats.org/spreadsheetml/2006/main">
  <authors>
    <author>Иван</author>
  </authors>
  <commentList>
    <comment ref="E252" authorId="0">
      <text>
        <r>
          <rPr>
            <b/>
            <sz val="8"/>
            <rFont val="Tahoma"/>
            <family val="0"/>
          </rPr>
          <t>Ядрова:</t>
        </r>
        <r>
          <rPr>
            <sz val="8"/>
            <rFont val="Tahoma"/>
            <family val="0"/>
          </rPr>
          <t xml:space="preserve">
строительство опорного пункта и приобретение 2 автомобилей (860тр);
капремонт подвала</t>
        </r>
      </text>
    </comment>
  </commentList>
</comments>
</file>

<file path=xl/sharedStrings.xml><?xml version="1.0" encoding="utf-8"?>
<sst xmlns="http://schemas.openxmlformats.org/spreadsheetml/2006/main" count="1660" uniqueCount="402">
  <si>
    <t>ОСНОВНЫЕ ПОКАЗАТЕЛИ</t>
  </si>
  <si>
    <t>(наименование муниципального образования)</t>
  </si>
  <si>
    <t>факт</t>
  </si>
  <si>
    <t>оценка</t>
  </si>
  <si>
    <t>прогноз</t>
  </si>
  <si>
    <t>1. ДЕМОГРАФИЧЕСКИЕ ПОКАЗАТЕЛИ</t>
  </si>
  <si>
    <t>Численность постоянного населения (среднегодовая) - всего</t>
  </si>
  <si>
    <t>тыс. человек</t>
  </si>
  <si>
    <t>% к предыдущему году</t>
  </si>
  <si>
    <t>городского</t>
  </si>
  <si>
    <t xml:space="preserve">сельского 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</si>
  <si>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</si>
  <si>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</si>
  <si>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</si>
  <si>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</si>
  <si>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</si>
  <si>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</si>
  <si>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</si>
  <si>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человек на 10 000 населения</t>
  </si>
  <si>
    <t>2.  ПРОИЗВОДСТВО ТОВАРОВ И УСЛУГ</t>
  </si>
  <si>
    <t>2.1. ПРОМЫШЛЕННОЕ ПРОИЗВОДСТВО</t>
  </si>
  <si>
    <t>Объем отгруженных товаров собственного производства, выполненных работ и услуг собственными силами - Добыча полезных ископаемых</t>
  </si>
  <si>
    <t>млн. руб. в ценах соответствующих лет</t>
  </si>
  <si>
    <t>Индекс производства - Добыча полезных ископаемых</t>
  </si>
  <si>
    <t>Индекс-дефлятор - Добыча полезных ископаемых</t>
  </si>
  <si>
    <t>Объем отгруженных товаров собственного производства, выполненных работ и услуг собственными силами - Добыча топливно-энергетических полезных ископаемых</t>
  </si>
  <si>
    <t>Индекс производства - Добыча топливно-энергетических полезных ископаемых</t>
  </si>
  <si>
    <t>Индекс-дефлятор -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</si>
  <si>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Добыча полезных ископаемых, кроме топливно-энергетических</t>
  </si>
  <si>
    <t>Индекс производства - Добыча полезных ископаемых, кроме топливно-энергетических</t>
  </si>
  <si>
    <t>Индекс-дефлятор - Добыча полезных ископаемых, кроме топливно-энергетических</t>
  </si>
  <si>
    <t>Объем отгруженных товаров собственного производства, выполненных работ и услуг собственными силами - Обрабатывающие производства</t>
  </si>
  <si>
    <t>Индекс производства - Обрабатывающие производства</t>
  </si>
  <si>
    <t>Индекс-дефлятор - Обрабатывающие производства</t>
  </si>
  <si>
    <t>Объем отгруженных товаров собственного производства, выполненных работ и услуг собственными силами - Производство пищевых продуктов, включая напитки, и табака</t>
  </si>
  <si>
    <t>Индекс производства -  Производство пищевых продуктов, включая напитки, и табака</t>
  </si>
  <si>
    <t>Индекс-дефлятор - 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</si>
  <si>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Текстильное и швейное производство</t>
  </si>
  <si>
    <t>Индекс производства -  Текстильное и швейное производство</t>
  </si>
  <si>
    <t>Индекс-дефлятор - 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</si>
  <si>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Производство кожи, изделий из кожи и производство обуви</t>
  </si>
  <si>
    <t>Индекс производства -  Производство кожи, изделий из кожи и производство обуви</t>
  </si>
  <si>
    <t>Индекс-дефлятор - 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</si>
  <si>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Обработка древесины и производство изделий из дерева</t>
  </si>
  <si>
    <t>Индекс производства -  Обработка древесины и производство изделий из дерева</t>
  </si>
  <si>
    <t>Индекс-дефлятор - 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</si>
  <si>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Целлюлозно-бумажное производство; издательская и полиграфическая деятельность</t>
  </si>
  <si>
    <t>Индекс производства -  Целлюлозно-бумажное производство; издательская и полиграфическая деятельность</t>
  </si>
  <si>
    <t>Индекс-дефлятор - 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</si>
  <si>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Производство кокса, нефтепродуктов и ядерных материалов</t>
  </si>
  <si>
    <t>Индекс производства -  Производство кокса, нефтепродуктов и ядерных материалов</t>
  </si>
  <si>
    <t>Индекс-дефлятор - 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</si>
  <si>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</si>
  <si>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Химическое производство</t>
  </si>
  <si>
    <t>Индекс-дефлятор -  Химическое производство</t>
  </si>
  <si>
    <t>Объем отгруженных товаров собственного производства, выполненных работ и услуг собственными силами - Производство резиновых и пластмассовых изделий</t>
  </si>
  <si>
    <t>Индекс производства -  Производство резиновых и пластмассовых изделий</t>
  </si>
  <si>
    <t>Индекс-дефлятор - 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</si>
  <si>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Производство прочих неметаллических минеральных продуктов</t>
  </si>
  <si>
    <t>Индекс производства -  Производство прочих неметаллических минеральных продуктов</t>
  </si>
  <si>
    <t>Индекс-дефлятор - 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</si>
  <si>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Металлургическое производство и производство готовых металлических изделий</t>
  </si>
  <si>
    <t>Индекс производства -  Металлургическое производство и производство готовых металлических изделий</t>
  </si>
  <si>
    <t>Индекс-дефлятор - 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</si>
  <si>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</si>
  <si>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</si>
  <si>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</si>
  <si>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Производство электрооборудования, электронного и оптического оборудования</t>
  </si>
  <si>
    <t>Индекс производства - Производство электрооборудования, электронного и оптического оборудования</t>
  </si>
  <si>
    <t>Индекс-дефлятор -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</si>
  <si>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Производство транспортных средств и оборудования</t>
  </si>
  <si>
    <t>Индекс производства - Производство транспортных средств и оборудования</t>
  </si>
  <si>
    <t>Индекс-дефлятор -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</si>
  <si>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Прочие производства</t>
  </si>
  <si>
    <t>Индекс производства - Прочие производства</t>
  </si>
  <si>
    <t>Индекс-дефлятор - Прочие производства</t>
  </si>
  <si>
    <t>Добыча полезных ископаемых</t>
  </si>
  <si>
    <r>
      <t>Объем отгруженных товаров собственного производства, выполненных работ и услуг собственными силами: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Производство и распределение электроэнергии, газа и воды</t>
    </r>
  </si>
  <si>
    <t>Индекс производства - Производство и распределение электроэнергии, газа и воды</t>
  </si>
  <si>
    <t>Индекс-дефлятор - Производство и распределение электроэнергии, газа и воды</t>
  </si>
  <si>
    <t>2.4 Сельское хозяйство</t>
  </si>
  <si>
    <t>Объем продукции сельского хозяйства в хозяйствах всех категорий</t>
  </si>
  <si>
    <t>млн.руб. в ценах соответствующих лет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</si>
  <si>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</si>
  <si>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</si>
  <si>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</si>
  <si>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</si>
  <si>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</si>
  <si>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</si>
  <si>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</si>
  <si>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</si>
  <si>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 xml:space="preserve">2.5 Производство важнейших видов продукции в натуральном выражении </t>
  </si>
  <si>
    <t>Зерно (в весе после доработки)</t>
  </si>
  <si>
    <t>тыс. тонн</t>
  </si>
  <si>
    <t>Картофель</t>
  </si>
  <si>
    <t>Овоши</t>
  </si>
  <si>
    <t>Скот и птица (в живом весе)</t>
  </si>
  <si>
    <t>Молоко</t>
  </si>
  <si>
    <t>млн. шт.</t>
  </si>
  <si>
    <t>Население:</t>
  </si>
  <si>
    <t>Цельномолочная продукция (в пересчете на молоко)</t>
  </si>
  <si>
    <t>Хлеб и хлебобулочные изделия</t>
  </si>
  <si>
    <t>Уголь</t>
  </si>
  <si>
    <t>тыс. куб. м</t>
  </si>
  <si>
    <t>Теплоэнергия</t>
  </si>
  <si>
    <t>2.6 Строительство</t>
  </si>
  <si>
    <t>Объем работ, выполненных по виду деятельности «строительство»</t>
  </si>
  <si>
    <t>% к предыдущему году в сопост.ценах</t>
  </si>
  <si>
    <t>Индекс-дефлятор по объему работ, выполненных по виду деятельности «строительство»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</si>
  <si>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</si>
  <si>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</si>
  <si>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</si>
  <si>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</si>
  <si>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</si>
  <si>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</si>
  <si>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</si>
  <si>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Оборот общественного питания</t>
  </si>
  <si>
    <t>Индекс физического объема оборота общественного питания</t>
  </si>
  <si>
    <t>Индекс цен на продукцию общественного питания</t>
  </si>
  <si>
    <t xml:space="preserve">Объем платных услуг населению </t>
  </si>
  <si>
    <t>% к предыдущему году в сопоставимых ценах</t>
  </si>
  <si>
    <t>Индекс-дефлятор по платным услугам</t>
  </si>
  <si>
    <t>в том числе: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</si>
  <si>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</si>
  <si>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</si>
  <si>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</si>
  <si>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</si>
  <si>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</si>
  <si>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</si>
  <si>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</si>
  <si>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</si>
  <si>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</si>
  <si>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</si>
  <si>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</si>
  <si>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правового характера</t>
  </si>
  <si>
    <t>услуги в системе образования</t>
  </si>
  <si>
    <t>прочие виды платных услуг населению</t>
  </si>
  <si>
    <t>4. МАЛОЕ ПРЕДПРИНИМАТЕЛЬСТВО</t>
  </si>
  <si>
    <t>в том числе по видам экономической деятельности:</t>
  </si>
  <si>
    <t>единиц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</si>
  <si>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</si>
  <si>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</si>
  <si>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</si>
  <si>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</si>
  <si>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5 ИНВЕСТИЦИИ</t>
  </si>
  <si>
    <t>Инвестиции в основной капитал за счет всех источников финансирования - всего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</si>
  <si>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</si>
  <si>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</si>
  <si>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–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</si>
  <si>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</si>
  <si>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Сельское хозяйство, охота и лесное хозяйство</t>
  </si>
  <si>
    <t>Рыболовство, рыбоводство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</si>
  <si>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</si>
  <si>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</si>
  <si>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</si>
  <si>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</si>
  <si>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</si>
  <si>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</si>
  <si>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</si>
  <si>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</si>
  <si>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</si>
  <si>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</si>
  <si>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</si>
  <si>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</si>
  <si>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</si>
  <si>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</si>
  <si>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</si>
  <si>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</si>
  <si>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</si>
  <si>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</si>
  <si>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</si>
  <si>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</si>
  <si>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</si>
  <si>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</si>
  <si>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</si>
  <si>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</si>
  <si>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</si>
  <si>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</si>
  <si>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</si>
  <si>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из них: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</si>
  <si>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</si>
  <si>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</si>
  <si>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</si>
  <si>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</si>
  <si>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</si>
  <si>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</si>
  <si>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средства внебюджетных фондов</t>
  </si>
  <si>
    <t xml:space="preserve"> в том числе:</t>
  </si>
  <si>
    <t>Иностранные инвестиции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</si>
  <si>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</si>
  <si>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</si>
  <si>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</si>
  <si>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</si>
  <si>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6 ФИНАНСЫ</t>
  </si>
  <si>
    <t>Прибыль прибыльных организаций</t>
  </si>
  <si>
    <t>млн.руб.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</si>
  <si>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</si>
  <si>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</si>
  <si>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</si>
  <si>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</si>
  <si>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</si>
  <si>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</si>
  <si>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</si>
  <si>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</si>
  <si>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</si>
  <si>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</si>
  <si>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</si>
  <si>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</si>
  <si>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</si>
  <si>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</si>
  <si>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в федеральный бюджет</t>
  </si>
  <si>
    <t>Средства, получаемые от федерального уровня власти</t>
  </si>
  <si>
    <t>из федерального бюджета</t>
  </si>
  <si>
    <t>от государственных внебюджетных фондов</t>
  </si>
  <si>
    <t>Всего доходов</t>
  </si>
  <si>
    <t>Расходы за чет средств, остающихся в распоряжении организаций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</si>
  <si>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</si>
  <si>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</si>
  <si>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</si>
  <si>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</si>
  <si>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</si>
  <si>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</si>
  <si>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</si>
  <si>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</si>
  <si>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</si>
  <si>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</si>
  <si>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</si>
  <si>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</si>
  <si>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</si>
  <si>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</si>
  <si>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</si>
  <si>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</si>
  <si>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</si>
  <si>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</si>
  <si>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</si>
  <si>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</si>
  <si>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</si>
  <si>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</si>
  <si>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</si>
  <si>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</si>
  <si>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</si>
  <si>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</si>
  <si>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7.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</si>
  <si>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</si>
  <si>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</si>
  <si>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</si>
  <si>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</si>
  <si>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</si>
  <si>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</si>
  <si>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страховые возмещения</t>
  </si>
  <si>
    <t>стипендии</t>
  </si>
  <si>
    <t xml:space="preserve">доходы от собственности (дивиденды, % по депозитам, доходы по ценным бумагам, компенсации по вкладам, продажа недвижимости) </t>
  </si>
  <si>
    <t>другие доходы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</si>
  <si>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</si>
  <si>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</si>
  <si>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</si>
  <si>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Расходы и сбережения - всего</t>
  </si>
  <si>
    <t xml:space="preserve"> </t>
  </si>
  <si>
    <t>покупка товаров и оплата услуг</t>
  </si>
  <si>
    <t>обязательные платежи и разнообразные взносы</t>
  </si>
  <si>
    <t>другие расходы (приобретение недвижимости, валюты, изменение задолженности по ссудам)</t>
  </si>
  <si>
    <t>Превышение доходов над расходами (+), или расходов над доходами (-)</t>
  </si>
  <si>
    <t>Среднедушевые расходы населения</t>
  </si>
  <si>
    <t>руб.</t>
  </si>
  <si>
    <t>Средний размер назначенных месячных пенсий пенсионеров, состоящих на учете в отделениях Пенсионного фонда РФ</t>
  </si>
  <si>
    <t>%</t>
  </si>
  <si>
    <t>8. ТРУД И ЗАНЯТОСТЬ</t>
  </si>
  <si>
    <t>Численность трудовых ресурсов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</si>
  <si>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</si>
  <si>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</si>
  <si>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</si>
  <si>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</si>
  <si>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</si>
  <si>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</si>
  <si>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</si>
  <si>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</si>
  <si>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</si>
  <si>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</si>
  <si>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</si>
  <si>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Уровень зарегистрированной безработицы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</si>
  <si>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</si>
  <si>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</si>
  <si>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человек</t>
  </si>
  <si>
    <t>Среднесписочная численность работников организаций - всего</t>
  </si>
  <si>
    <t>Фонд заработной платы работников</t>
  </si>
  <si>
    <t xml:space="preserve">млн.руб. </t>
  </si>
  <si>
    <t>Выплаты социального характера - всего</t>
  </si>
  <si>
    <t>9.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</si>
  <si>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</si>
  <si>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</si>
  <si>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</si>
  <si>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</si>
  <si>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</si>
  <si>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</si>
  <si>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</si>
  <si>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</si>
  <si>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</si>
  <si>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 %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</si>
  <si>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</si>
  <si>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</si>
  <si>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</si>
  <si>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единиц на 1000 человек населения</t>
  </si>
  <si>
    <t>Обеспеченность:</t>
  </si>
  <si>
    <t>больничными койками</t>
  </si>
  <si>
    <t xml:space="preserve"> коек на 10 тыс.жителей</t>
  </si>
  <si>
    <t>мест на 10 тыс. населения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</si>
  <si>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</si>
  <si>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</si>
  <si>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</si>
  <si>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</si>
  <si>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</si>
  <si>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</si>
  <si>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</si>
  <si>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</si>
  <si>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</si>
  <si>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</si>
  <si>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</si>
  <si>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Ввод в эксплуатацию жилых домов за счет всех источников финансирования</t>
  </si>
  <si>
    <t>тыс. кв. м общей площади</t>
  </si>
  <si>
    <t>в том числе за счет:</t>
  </si>
  <si>
    <t>в т.ч. по Федеральным целевым программам</t>
  </si>
  <si>
    <t>средств областного бюджета</t>
  </si>
  <si>
    <t>в т.ч. по региональным целевым программам</t>
  </si>
  <si>
    <t>средств местного бюджета</t>
  </si>
  <si>
    <t>в т.ч. по программам территории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</si>
  <si>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</si>
  <si>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</si>
  <si>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</si>
  <si>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</si>
  <si>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>тыс. руб.</t>
  </si>
  <si>
    <t xml:space="preserve">Фактический уровень платежей населения за жилье и коммунальные услуги </t>
  </si>
  <si>
    <t>Число зарегистрированных преступлений</t>
  </si>
  <si>
    <t>единиц на 100 тыс. населения</t>
  </si>
  <si>
    <t>Численность пенсионеров, состоящих на учете в Пенсионном фонде</t>
  </si>
  <si>
    <t>тыс. чел.</t>
  </si>
  <si>
    <t>человек на 1 000 человек населения</t>
  </si>
  <si>
    <t>Прокат черных металлов</t>
  </si>
  <si>
    <t>Сталь</t>
  </si>
  <si>
    <t>Цемент</t>
  </si>
  <si>
    <t>Кирпич</t>
  </si>
  <si>
    <t>Подакцизные товары (отдельное приложение)</t>
  </si>
  <si>
    <t>Электроэнергия</t>
  </si>
  <si>
    <t>млн.усл.кирпичей</t>
  </si>
  <si>
    <t>млн.квтч</t>
  </si>
  <si>
    <t>тыс.Гкал</t>
  </si>
  <si>
    <t>Минеральные удобрения</t>
  </si>
  <si>
    <t>смешанная (с иностранным участием) форма собственности</t>
  </si>
  <si>
    <t>смешанная (без иностранного участия) форма собственности</t>
  </si>
  <si>
    <r>
      <t xml:space="preserve">бюджетные средства </t>
    </r>
    <r>
      <rPr>
        <b/>
        <sz val="11"/>
        <rFont val="Arial"/>
        <family val="2"/>
      </rPr>
      <t xml:space="preserve"> (согласно Приложения*)</t>
    </r>
  </si>
  <si>
    <t>из него по федеральной адресной инвестиционной программе</t>
  </si>
  <si>
    <t xml:space="preserve">прочие  </t>
  </si>
  <si>
    <t xml:space="preserve">       в том числе: средства от эмиссии акций </t>
  </si>
  <si>
    <r>
      <t xml:space="preserve">Объем инвестиций в основной капитал, направляемый на реализацию федеральных целевых программ за счет всех источников финансирования  </t>
    </r>
    <r>
      <rPr>
        <b/>
        <sz val="11"/>
        <rFont val="Arial"/>
        <family val="2"/>
      </rPr>
      <t>(согласно Приложения*)</t>
    </r>
  </si>
  <si>
    <t>из федерального бюджета (согласно Приложения**)</t>
  </si>
  <si>
    <t>областной бюджет (согласно Приложения***)</t>
  </si>
  <si>
    <t>местный бюджет (согласно Приложения****)</t>
  </si>
  <si>
    <t>за счет федерального бюджета - всего (согласно Приложения*)</t>
  </si>
  <si>
    <t>за счет бюджета субъекта Российской Федерации - всего (согласно Приложения*)</t>
  </si>
  <si>
    <t>Индекс промышленного производства (Добыча полезных ископаемых+ Обрабатывающие производства+ Производство и распределение электроэнергии, газа и воды), по полному кругу предприятий</t>
  </si>
  <si>
    <t>2.1.1. Добыча полезных ископаемых, по полному кругу предприятий</t>
  </si>
  <si>
    <t>2.2 Обрабатывающие производства, по полному кругу предприятий</t>
  </si>
  <si>
    <t>Индекс промышленного производства (Добыча полезных ископаемых+ Обрабатывающие производства+ Производство и распределение электроэнергии, газа и воды), по крупным и средним предприятиям</t>
  </si>
  <si>
    <t>Добыча полезных ископаемых, по крупным и средним предприятиям</t>
  </si>
  <si>
    <t>2.2 Обрабатывающие производства, по крупным и средним предприятиям</t>
  </si>
  <si>
    <t>2.3 Производство и распределение электроэнергии, газа и воды, по крупным и средним предприятиям</t>
  </si>
  <si>
    <t>По крупным и средним предприятиям:</t>
  </si>
  <si>
    <t>По полному кругу предприятий:</t>
  </si>
  <si>
    <t>2.3 Производство и распределение электроэнергии, газа и воды, по полному кругу предприятий</t>
  </si>
  <si>
    <t>Сельскохозяйственные предприятия:</t>
  </si>
  <si>
    <t>Крестьянские (фермерские) хозяйства:</t>
  </si>
  <si>
    <t>Яйца</t>
  </si>
  <si>
    <t>из бюджетов субъектов федерации (обл.бюджет+мест.бюджет)</t>
  </si>
  <si>
    <t>оплата услуг</t>
  </si>
  <si>
    <t>покупка товаров</t>
  </si>
  <si>
    <t>Технические культуры, в том числе</t>
  </si>
  <si>
    <t>рапс</t>
  </si>
  <si>
    <t>см. также электронные формы сформулами</t>
  </si>
  <si>
    <t>ВАРИАНТ 2</t>
  </si>
  <si>
    <t>Доходы консолидированного бюджета субъекта Российской Федерации</t>
  </si>
  <si>
    <t>Амортизация основных фондов, начисленная за год</t>
  </si>
  <si>
    <t>Отчисления на социальные нужды</t>
  </si>
  <si>
    <t>Специальные налоговые режимы</t>
  </si>
  <si>
    <t>Налог на имущество</t>
  </si>
  <si>
    <t>часть отчислений на социальные нужды, централизуемых государственными внебюджетными фондами</t>
  </si>
  <si>
    <t>Расходы консолидированного бюджета субъекта Российской Федерации</t>
  </si>
  <si>
    <r>
      <t>Справочно:</t>
    </r>
    <r>
      <rPr>
        <sz val="11"/>
        <color indexed="8"/>
        <rFont val="Tahoma"/>
        <family val="2"/>
      </rPr>
      <t xml:space="preserve"> сальдо прибылей и убытков</t>
    </r>
  </si>
  <si>
    <t>Единица измерения</t>
  </si>
  <si>
    <t>ПОКАЗАТЕЛИ</t>
  </si>
  <si>
    <t>прогноза социально-экономического развития на 2012 год и плановый период 2013 и 2014 годов</t>
  </si>
  <si>
    <t>Число малых предприятий, включая микропредприятия (на конец года)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</si>
  <si>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</si>
  <si>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 xml:space="preserve">млн. руб. </t>
  </si>
  <si>
    <t>тыс.руб</t>
  </si>
  <si>
    <t>Среднесписочная численность работников (без внешних совместителей) малых предприятий включая микропредприятия</t>
  </si>
  <si>
    <t>Оборот малых предприятий, включая микропредприятия</t>
  </si>
  <si>
    <t xml:space="preserve">Расходы на поддержку малого и среднего предпринимательства по муниципальной программе (выдача грантов, субсидирование процентных ставок, субсидии по аренде земли и помещений и др.) </t>
  </si>
  <si>
    <t>млн. руб.</t>
  </si>
  <si>
    <t>в т.ч. по долгосрочным целевым программам</t>
  </si>
  <si>
    <t>см. также электронные формы с формулами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</si>
  <si>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</si>
  <si>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</si>
  <si>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Кемеровский муниципальный район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</si>
</sst>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"/>
    <numFmt numFmtId="171" formatCode="0.0000000"/>
    <numFmt numFmtId="172" formatCode="0.000000"/>
    <numFmt numFmtId="173" formatCode="0.00000"/>
    <numFmt numFmtId="174" formatCode="0.0000"/>
    <numFmt numFmtId="175" formatCode="0.0E+00"/>
    <numFmt numFmtId="176" formatCode="0E+00"/>
    <numFmt numFmtId="177" formatCode="0.000E+00"/>
    <numFmt numFmtId="178" formatCode="0.0000E+00"/>
    <numFmt numFmtId="179" formatCode="0.00000E+00"/>
    <numFmt numFmtId="180" formatCode="0.00000000"/>
    <numFmt numFmtId="181" formatCode="#,##0.0"/>
    <numFmt numFmtId="182" formatCode="#,##0.000"/>
    <numFmt numFmtId="183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Black"/>
      <family val="2"/>
    </font>
    <font>
      <sz val="11"/>
      <name val="Arial"/>
      <family val="2"/>
    </font>
    <font>
      <sz val="11"/>
      <name val="Times New Roman"/>
      <family val="1"/>
    </font>
    <font>
      <sz val="7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12"/>
      <name val="Arial Cyr"/>
      <family val="0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i/>
      <sz val="11"/>
      <color indexed="8"/>
      <name val="Tahoma"/>
      <family val="2"/>
    </font>
    <font>
      <sz val="11"/>
      <name val="Tahoma"/>
      <family val="2"/>
    </font>
    <font>
      <b/>
      <i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name val="Arial Black"/>
      <family val="2"/>
    </font>
    <font>
      <b/>
      <i/>
      <u val="single"/>
      <sz val="14"/>
      <name val="Arial Cyr"/>
      <family val="0"/>
    </font>
    <font>
      <sz val="11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vertical="top" wrapText="1"/>
    </xf>
    <xf numFmtId="164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9" fontId="12" fillId="0" borderId="10" xfId="57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1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4" fontId="10" fillId="0" borderId="16" xfId="0" applyNumberFormat="1" applyFont="1" applyFill="1" applyBorder="1" applyAlignment="1">
      <alignment horizontal="center" vertical="top" wrapText="1"/>
    </xf>
    <xf numFmtId="164" fontId="10" fillId="0" borderId="17" xfId="0" applyNumberFormat="1" applyFont="1" applyFill="1" applyBorder="1" applyAlignment="1">
      <alignment horizontal="center" vertical="top" wrapText="1"/>
    </xf>
    <xf numFmtId="164" fontId="10" fillId="0" borderId="16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 vertical="top" wrapText="1"/>
    </xf>
    <xf numFmtId="2" fontId="10" fillId="0" borderId="17" xfId="0" applyNumberFormat="1" applyFont="1" applyFill="1" applyBorder="1" applyAlignment="1">
      <alignment horizontal="center" vertical="top" wrapText="1"/>
    </xf>
    <xf numFmtId="1" fontId="10" fillId="0" borderId="16" xfId="0" applyNumberFormat="1" applyFont="1" applyFill="1" applyBorder="1" applyAlignment="1">
      <alignment horizontal="center" vertical="top" wrapText="1"/>
    </xf>
    <xf numFmtId="1" fontId="10" fillId="0" borderId="17" xfId="0" applyNumberFormat="1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9" fontId="12" fillId="0" borderId="16" xfId="57" applyFont="1" applyFill="1" applyBorder="1" applyAlignment="1">
      <alignment horizontal="center" vertical="center" wrapText="1"/>
    </xf>
    <xf numFmtId="9" fontId="12" fillId="0" borderId="17" xfId="57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vertical="top" wrapText="1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164" fontId="10" fillId="0" borderId="23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10" fillId="0" borderId="23" xfId="0" applyNumberFormat="1" applyFont="1" applyFill="1" applyBorder="1" applyAlignment="1">
      <alignment horizontal="center" vertical="top" wrapText="1"/>
    </xf>
    <xf numFmtId="2" fontId="10" fillId="0" borderId="23" xfId="0" applyNumberFormat="1" applyFont="1" applyFill="1" applyBorder="1" applyAlignment="1">
      <alignment horizontal="center" vertical="top" wrapText="1"/>
    </xf>
    <xf numFmtId="1" fontId="10" fillId="0" borderId="23" xfId="0" applyNumberFormat="1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 wrapText="1"/>
    </xf>
    <xf numFmtId="9" fontId="12" fillId="0" borderId="23" xfId="57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164" fontId="12" fillId="0" borderId="2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left" vertical="top" wrapText="1" indent="1"/>
    </xf>
    <xf numFmtId="0" fontId="4" fillId="0" borderId="16" xfId="0" applyFont="1" applyFill="1" applyBorder="1" applyAlignment="1">
      <alignment horizontal="left" vertical="top" wrapText="1" indent="1"/>
    </xf>
    <xf numFmtId="0" fontId="11" fillId="0" borderId="16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left" vertical="top" wrapText="1" indent="1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>
      <alignment horizontal="left" vertical="top" wrapText="1" indent="2"/>
    </xf>
    <xf numFmtId="0" fontId="4" fillId="0" borderId="16" xfId="0" applyFont="1" applyFill="1" applyBorder="1" applyAlignment="1">
      <alignment horizontal="left" vertical="top" wrapText="1" indent="3"/>
    </xf>
    <xf numFmtId="0" fontId="16" fillId="0" borderId="16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Fill="1" applyBorder="1" applyAlignment="1" applyProtection="1">
      <alignment horizontal="left" vertical="center" wrapText="1" indent="2"/>
      <protection/>
    </xf>
    <xf numFmtId="0" fontId="17" fillId="0" borderId="16" xfId="0" applyFont="1" applyFill="1" applyBorder="1" applyAlignment="1" applyProtection="1">
      <alignment horizontal="left" vertical="center" wrapText="1" indent="2"/>
      <protection/>
    </xf>
    <xf numFmtId="0" fontId="19" fillId="0" borderId="16" xfId="0" applyFont="1" applyFill="1" applyBorder="1" applyAlignment="1" applyProtection="1">
      <alignment horizontal="left" vertical="center" wrapText="1" indent="2"/>
      <protection/>
    </xf>
    <xf numFmtId="0" fontId="19" fillId="0" borderId="16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Fill="1" applyBorder="1" applyAlignment="1" applyProtection="1">
      <alignment horizontal="left" vertical="center" wrapText="1" indent="1"/>
      <protection/>
    </xf>
    <xf numFmtId="0" fontId="20" fillId="0" borderId="16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Fill="1" applyBorder="1" applyAlignment="1" applyProtection="1">
      <alignment horizontal="left" vertical="center" wrapText="1" indent="3"/>
      <protection/>
    </xf>
    <xf numFmtId="0" fontId="11" fillId="0" borderId="16" xfId="0" applyFont="1" applyFill="1" applyBorder="1" applyAlignment="1">
      <alignment horizontal="left" vertical="top" wrapText="1" indent="2"/>
    </xf>
    <xf numFmtId="0" fontId="4" fillId="0" borderId="20" xfId="0" applyFont="1" applyFill="1" applyBorder="1" applyAlignment="1">
      <alignment vertical="top" wrapText="1"/>
    </xf>
    <xf numFmtId="0" fontId="9" fillId="0" borderId="26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vertical="top" wrapText="1"/>
    </xf>
    <xf numFmtId="0" fontId="9" fillId="0" borderId="29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wrapText="1"/>
    </xf>
    <xf numFmtId="0" fontId="4" fillId="24" borderId="16" xfId="0" applyFont="1" applyFill="1" applyBorder="1" applyAlignment="1">
      <alignment horizontal="left" vertical="top" wrapText="1" indent="1"/>
    </xf>
    <xf numFmtId="0" fontId="4" fillId="24" borderId="16" xfId="0" applyFont="1" applyFill="1" applyBorder="1" applyAlignment="1">
      <alignment vertical="top" wrapText="1"/>
    </xf>
    <xf numFmtId="0" fontId="9" fillId="24" borderId="12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left" vertical="top" wrapText="1" indent="1"/>
    </xf>
    <xf numFmtId="9" fontId="12" fillId="0" borderId="16" xfId="0" applyNumberFormat="1" applyFont="1" applyFill="1" applyBorder="1" applyAlignment="1">
      <alignment horizontal="center" vertical="center" wrapText="1"/>
    </xf>
    <xf numFmtId="9" fontId="12" fillId="0" borderId="17" xfId="0" applyNumberFormat="1" applyFont="1" applyFill="1" applyBorder="1" applyAlignment="1">
      <alignment horizontal="center" vertical="center" wrapText="1"/>
    </xf>
    <xf numFmtId="9" fontId="12" fillId="0" borderId="23" xfId="0" applyNumberFormat="1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 vertical="top" wrapText="1"/>
    </xf>
    <xf numFmtId="165" fontId="10" fillId="0" borderId="17" xfId="0" applyNumberFormat="1" applyFont="1" applyFill="1" applyBorder="1" applyAlignment="1">
      <alignment horizontal="center" vertical="top" wrapText="1"/>
    </xf>
    <xf numFmtId="165" fontId="10" fillId="0" borderId="23" xfId="0" applyNumberFormat="1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81" fontId="44" fillId="0" borderId="10" xfId="0" applyNumberFormat="1" applyFont="1" applyFill="1" applyBorder="1" applyAlignment="1">
      <alignment horizontal="right" vertical="center"/>
    </xf>
    <xf numFmtId="181" fontId="44" fillId="0" borderId="10" xfId="0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right" vertical="center" wrapText="1"/>
    </xf>
    <xf numFmtId="1" fontId="44" fillId="0" borderId="10" xfId="0" applyNumberFormat="1" applyFont="1" applyFill="1" applyBorder="1" applyAlignment="1">
      <alignment horizontal="right" vertical="center" wrapText="1"/>
    </xf>
    <xf numFmtId="164" fontId="44" fillId="0" borderId="10" xfId="0" applyNumberFormat="1" applyFont="1" applyFill="1" applyBorder="1" applyAlignment="1">
      <alignment horizontal="right" vertical="center" wrapText="1"/>
    </xf>
    <xf numFmtId="2" fontId="44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vertical="center"/>
    </xf>
    <xf numFmtId="164" fontId="44" fillId="0" borderId="10" xfId="0" applyNumberFormat="1" applyFont="1" applyFill="1" applyBorder="1" applyAlignment="1">
      <alignment horizontal="right" vertical="center" wrapText="1"/>
    </xf>
    <xf numFmtId="164" fontId="45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 wrapText="1"/>
    </xf>
    <xf numFmtId="164" fontId="45" fillId="0" borderId="10" xfId="0" applyNumberFormat="1" applyFont="1" applyFill="1" applyBorder="1" applyAlignment="1">
      <alignment horizontal="right" vertical="center" wrapText="1"/>
    </xf>
    <xf numFmtId="165" fontId="45" fillId="0" borderId="10" xfId="0" applyNumberFormat="1" applyFont="1" applyFill="1" applyBorder="1" applyAlignment="1">
      <alignment horizontal="right" vertical="center" wrapText="1"/>
    </xf>
    <xf numFmtId="181" fontId="43" fillId="0" borderId="10" xfId="0" applyNumberFormat="1" applyFont="1" applyFill="1" applyBorder="1" applyAlignment="1">
      <alignment horizontal="right" vertical="center" wrapText="1"/>
    </xf>
    <xf numFmtId="3" fontId="44" fillId="0" borderId="10" xfId="0" applyNumberFormat="1" applyFont="1" applyFill="1" applyBorder="1" applyAlignment="1">
      <alignment horizontal="right" vertical="center" wrapText="1"/>
    </xf>
    <xf numFmtId="182" fontId="44" fillId="0" borderId="10" xfId="0" applyNumberFormat="1" applyFont="1" applyFill="1" applyBorder="1" applyAlignment="1">
      <alignment horizontal="right" vertical="center" wrapText="1"/>
    </xf>
    <xf numFmtId="183" fontId="44" fillId="0" borderId="10" xfId="0" applyNumberFormat="1" applyFont="1" applyFill="1" applyBorder="1" applyAlignment="1">
      <alignment horizontal="right" vertical="center" wrapText="1"/>
    </xf>
    <xf numFmtId="181" fontId="45" fillId="0" borderId="10" xfId="0" applyNumberFormat="1" applyFont="1" applyFill="1" applyBorder="1" applyAlignment="1" applyProtection="1">
      <alignment horizontal="right" vertical="center"/>
      <protection locked="0"/>
    </xf>
    <xf numFmtId="181" fontId="45" fillId="0" borderId="10" xfId="0" applyNumberFormat="1" applyFont="1" applyFill="1" applyBorder="1" applyAlignment="1" applyProtection="1">
      <alignment horizontal="right" vertical="center"/>
      <protection locked="0"/>
    </xf>
    <xf numFmtId="181" fontId="46" fillId="0" borderId="10" xfId="0" applyNumberFormat="1" applyFont="1" applyFill="1" applyBorder="1" applyAlignment="1" applyProtection="1">
      <alignment horizontal="right" vertical="center"/>
      <protection locked="0"/>
    </xf>
    <xf numFmtId="181" fontId="46" fillId="0" borderId="10" xfId="0" applyNumberFormat="1" applyFont="1" applyFill="1" applyBorder="1" applyAlignment="1" applyProtection="1">
      <alignment horizontal="right" vertical="center"/>
      <protection locked="0"/>
    </xf>
    <xf numFmtId="181" fontId="45" fillId="0" borderId="10" xfId="0" applyNumberFormat="1" applyFont="1" applyFill="1" applyBorder="1" applyAlignment="1" applyProtection="1">
      <alignment horizontal="right" vertical="center"/>
      <protection/>
    </xf>
    <xf numFmtId="9" fontId="44" fillId="0" borderId="10" xfId="57" applyFont="1" applyFill="1" applyBorder="1" applyAlignment="1">
      <alignment horizontal="right" vertical="center" wrapText="1"/>
    </xf>
    <xf numFmtId="9" fontId="44" fillId="0" borderId="10" xfId="0" applyNumberFormat="1" applyFont="1" applyFill="1" applyBorder="1" applyAlignment="1">
      <alignment horizontal="right" vertical="center" wrapText="1"/>
    </xf>
    <xf numFmtId="165" fontId="44" fillId="0" borderId="10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right" vertical="center" wrapText="1"/>
    </xf>
    <xf numFmtId="0" fontId="44" fillId="0" borderId="17" xfId="0" applyFont="1" applyFill="1" applyBorder="1" applyAlignment="1">
      <alignment horizontal="right" vertical="center" wrapText="1"/>
    </xf>
    <xf numFmtId="1" fontId="44" fillId="0" borderId="17" xfId="0" applyNumberFormat="1" applyFont="1" applyFill="1" applyBorder="1" applyAlignment="1">
      <alignment horizontal="right" vertical="center" wrapText="1"/>
    </xf>
    <xf numFmtId="2" fontId="44" fillId="0" borderId="17" xfId="0" applyNumberFormat="1" applyFont="1" applyFill="1" applyBorder="1" applyAlignment="1">
      <alignment horizontal="right" vertical="center" wrapText="1"/>
    </xf>
    <xf numFmtId="0" fontId="45" fillId="0" borderId="16" xfId="0" applyFont="1" applyFill="1" applyBorder="1" applyAlignment="1">
      <alignment horizontal="right" vertical="center"/>
    </xf>
    <xf numFmtId="0" fontId="45" fillId="0" borderId="17" xfId="0" applyFont="1" applyFill="1" applyBorder="1" applyAlignment="1">
      <alignment horizontal="right" vertical="center"/>
    </xf>
    <xf numFmtId="2" fontId="44" fillId="0" borderId="16" xfId="0" applyNumberFormat="1" applyFont="1" applyFill="1" applyBorder="1" applyAlignment="1">
      <alignment horizontal="right" vertical="center" wrapText="1"/>
    </xf>
    <xf numFmtId="164" fontId="44" fillId="0" borderId="16" xfId="0" applyNumberFormat="1" applyFont="1" applyFill="1" applyBorder="1" applyAlignment="1">
      <alignment horizontal="right" vertical="center" wrapText="1"/>
    </xf>
    <xf numFmtId="164" fontId="44" fillId="0" borderId="17" xfId="0" applyNumberFormat="1" applyFont="1" applyFill="1" applyBorder="1" applyAlignment="1">
      <alignment horizontal="right" vertical="center" wrapText="1"/>
    </xf>
    <xf numFmtId="164" fontId="44" fillId="0" borderId="16" xfId="0" applyNumberFormat="1" applyFont="1" applyFill="1" applyBorder="1" applyAlignment="1">
      <alignment horizontal="right" vertical="center" wrapText="1"/>
    </xf>
    <xf numFmtId="164" fontId="44" fillId="0" borderId="17" xfId="0" applyNumberFormat="1" applyFont="1" applyFill="1" applyBorder="1" applyAlignment="1">
      <alignment horizontal="right" vertical="center" wrapText="1"/>
    </xf>
    <xf numFmtId="164" fontId="45" fillId="0" borderId="16" xfId="0" applyNumberFormat="1" applyFont="1" applyFill="1" applyBorder="1" applyAlignment="1">
      <alignment horizontal="right" vertical="center"/>
    </xf>
    <xf numFmtId="164" fontId="45" fillId="0" borderId="17" xfId="0" applyNumberFormat="1" applyFont="1" applyFill="1" applyBorder="1" applyAlignment="1">
      <alignment horizontal="right" vertical="center"/>
    </xf>
    <xf numFmtId="164" fontId="44" fillId="0" borderId="17" xfId="0" applyNumberFormat="1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horizontal="right" vertical="center" wrapText="1"/>
    </xf>
    <xf numFmtId="1" fontId="44" fillId="0" borderId="16" xfId="0" applyNumberFormat="1" applyFont="1" applyFill="1" applyBorder="1" applyAlignment="1">
      <alignment horizontal="right" vertical="center" wrapText="1"/>
    </xf>
    <xf numFmtId="181" fontId="43" fillId="0" borderId="16" xfId="0" applyNumberFormat="1" applyFont="1" applyFill="1" applyBorder="1" applyAlignment="1">
      <alignment horizontal="right" vertical="center" wrapText="1"/>
    </xf>
    <xf numFmtId="181" fontId="43" fillId="0" borderId="17" xfId="0" applyNumberFormat="1" applyFont="1" applyFill="1" applyBorder="1" applyAlignment="1">
      <alignment horizontal="right" vertical="center" wrapText="1"/>
    </xf>
    <xf numFmtId="181" fontId="44" fillId="0" borderId="16" xfId="0" applyNumberFormat="1" applyFont="1" applyFill="1" applyBorder="1" applyAlignment="1">
      <alignment horizontal="right" vertical="center" wrapText="1"/>
    </xf>
    <xf numFmtId="181" fontId="44" fillId="0" borderId="17" xfId="0" applyNumberFormat="1" applyFont="1" applyFill="1" applyBorder="1" applyAlignment="1">
      <alignment horizontal="right" vertical="center" wrapText="1"/>
    </xf>
    <xf numFmtId="181" fontId="44" fillId="0" borderId="16" xfId="0" applyNumberFormat="1" applyFont="1" applyFill="1" applyBorder="1" applyAlignment="1">
      <alignment horizontal="right" vertical="center"/>
    </xf>
    <xf numFmtId="4" fontId="44" fillId="0" borderId="17" xfId="0" applyNumberFormat="1" applyFont="1" applyFill="1" applyBorder="1" applyAlignment="1">
      <alignment horizontal="right" vertical="center" wrapText="1"/>
    </xf>
    <xf numFmtId="181" fontId="45" fillId="0" borderId="16" xfId="0" applyNumberFormat="1" applyFont="1" applyFill="1" applyBorder="1" applyAlignment="1" applyProtection="1">
      <alignment horizontal="right" vertical="center"/>
      <protection locked="0"/>
    </xf>
    <xf numFmtId="181" fontId="46" fillId="0" borderId="16" xfId="0" applyNumberFormat="1" applyFont="1" applyFill="1" applyBorder="1" applyAlignment="1" applyProtection="1">
      <alignment horizontal="right" vertical="center"/>
      <protection locked="0"/>
    </xf>
    <xf numFmtId="9" fontId="44" fillId="0" borderId="16" xfId="57" applyFont="1" applyFill="1" applyBorder="1" applyAlignment="1">
      <alignment horizontal="right" vertical="center" wrapText="1"/>
    </xf>
    <xf numFmtId="9" fontId="44" fillId="0" borderId="17" xfId="57" applyFont="1" applyFill="1" applyBorder="1" applyAlignment="1">
      <alignment horizontal="right" vertical="center" wrapText="1"/>
    </xf>
    <xf numFmtId="9" fontId="44" fillId="0" borderId="16" xfId="0" applyNumberFormat="1" applyFont="1" applyFill="1" applyBorder="1" applyAlignment="1">
      <alignment horizontal="right" vertical="center" wrapText="1"/>
    </xf>
    <xf numFmtId="9" fontId="44" fillId="0" borderId="17" xfId="0" applyNumberFormat="1" applyFont="1" applyFill="1" applyBorder="1" applyAlignment="1">
      <alignment horizontal="right" vertical="center" wrapText="1"/>
    </xf>
    <xf numFmtId="165" fontId="44" fillId="0" borderId="16" xfId="0" applyNumberFormat="1" applyFont="1" applyFill="1" applyBorder="1" applyAlignment="1">
      <alignment horizontal="right" vertical="center" wrapText="1"/>
    </xf>
    <xf numFmtId="165" fontId="44" fillId="0" borderId="17" xfId="0" applyNumberFormat="1" applyFont="1" applyFill="1" applyBorder="1" applyAlignment="1">
      <alignment horizontal="right" vertical="center" wrapText="1"/>
    </xf>
    <xf numFmtId="0" fontId="44" fillId="0" borderId="20" xfId="0" applyFont="1" applyFill="1" applyBorder="1" applyAlignment="1">
      <alignment horizontal="right" vertical="center" wrapText="1"/>
    </xf>
    <xf numFmtId="0" fontId="44" fillId="0" borderId="21" xfId="0" applyFont="1" applyFill="1" applyBorder="1" applyAlignment="1">
      <alignment horizontal="right" vertical="center" wrapText="1"/>
    </xf>
    <xf numFmtId="0" fontId="44" fillId="0" borderId="22" xfId="0" applyFont="1" applyFill="1" applyBorder="1" applyAlignment="1">
      <alignment horizontal="right" vertical="center" wrapText="1"/>
    </xf>
    <xf numFmtId="4" fontId="47" fillId="0" borderId="17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1055;&#1051;&#1040;&#1053;&#1048;&#1056;&#1054;&#1042;&#1040;&#1053;&#1048;&#1045;\1.1.%20&#1055;&#1056;&#1054;&#1043;&#1053;&#1054;&#1047;\&#1054;&#1090;&#1074;&#1077;&#1090;&#1099;\&#1055;&#1088;&#1086;&#1084;&#1099;&#1096;&#1083;&#1077;&#1085;&#1085;&#1086;&#1089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</sheetNames>
    <sheetDataSet>
      <sheetData sheetId="0">
        <row r="15">
          <cell r="C15">
            <v>124.1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507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0" sqref="J10"/>
    </sheetView>
  </sheetViews>
  <sheetFormatPr defaultColWidth="9.00390625" defaultRowHeight="12.75"/>
  <cols>
    <col min="1" max="1" width="57.375" style="1" customWidth="1"/>
    <col min="2" max="2" width="20.625" style="3" customWidth="1"/>
    <col min="3" max="3" width="14.125" style="4" customWidth="1"/>
    <col min="4" max="4" width="14.75390625" style="4" customWidth="1"/>
    <col min="5" max="5" width="13.75390625" style="4" customWidth="1"/>
    <col min="6" max="6" width="14.875" style="4" customWidth="1"/>
    <col min="7" max="7" width="12.375" style="4" customWidth="1"/>
    <col min="8" max="8" width="12.00390625" style="4" customWidth="1"/>
    <col min="9" max="16384" width="9.125" style="1" customWidth="1"/>
  </cols>
  <sheetData>
    <row r="1" ht="12.75"/>
    <row r="2" ht="12.75"/>
    <row r="3" spans="1:8" ht="18.75">
      <c r="A3" s="138" t="s">
        <v>0</v>
      </c>
      <c r="B3" s="139"/>
      <c r="C3" s="139"/>
      <c r="D3" s="139"/>
      <c r="E3" s="139"/>
      <c r="F3" s="139"/>
      <c r="G3" s="139"/>
      <c r="H3" s="1"/>
    </row>
    <row r="4" spans="1:8" ht="18.75">
      <c r="A4" s="138" t="s">
        <v>388</v>
      </c>
      <c r="B4" s="139"/>
      <c r="C4" s="139"/>
      <c r="D4" s="139"/>
      <c r="E4" s="139"/>
      <c r="F4" s="139"/>
      <c r="G4" s="139"/>
      <c r="H4" s="1"/>
    </row>
    <row r="5" spans="1:8" ht="22.5">
      <c r="A5" s="140" t="s">
        <v>401</v>
      </c>
      <c r="B5" s="141"/>
      <c r="C5" s="141"/>
      <c r="D5" s="141"/>
      <c r="E5" s="141"/>
      <c r="F5" s="141"/>
      <c r="G5" s="141"/>
      <c r="H5" s="1"/>
    </row>
    <row r="6" spans="1:8" ht="14.25">
      <c r="A6" s="142" t="s">
        <v>1</v>
      </c>
      <c r="B6" s="139"/>
      <c r="C6" s="139"/>
      <c r="D6" s="139"/>
      <c r="E6" s="139"/>
      <c r="F6" s="139"/>
      <c r="G6" s="139"/>
      <c r="H6" s="1"/>
    </row>
    <row r="7" ht="15.75" thickBot="1">
      <c r="A7" s="2"/>
    </row>
    <row r="8" spans="1:8" ht="15">
      <c r="A8" s="134" t="s">
        <v>387</v>
      </c>
      <c r="B8" s="136" t="s">
        <v>386</v>
      </c>
      <c r="C8" s="27">
        <v>2009</v>
      </c>
      <c r="D8" s="29">
        <v>2010</v>
      </c>
      <c r="E8" s="87">
        <v>2011</v>
      </c>
      <c r="F8" s="27">
        <v>2012</v>
      </c>
      <c r="G8" s="28">
        <v>2013</v>
      </c>
      <c r="H8" s="29">
        <v>2014</v>
      </c>
    </row>
    <row r="9" spans="1:8" ht="13.5" thickBot="1">
      <c r="A9" s="135"/>
      <c r="B9" s="137"/>
      <c r="C9" s="131" t="s">
        <v>2</v>
      </c>
      <c r="D9" s="133"/>
      <c r="E9" s="117" t="s">
        <v>3</v>
      </c>
      <c r="F9" s="131" t="s">
        <v>4</v>
      </c>
      <c r="G9" s="132"/>
      <c r="H9" s="133"/>
    </row>
    <row r="10" spans="1:8" ht="18.75">
      <c r="A10" s="111" t="s">
        <v>5</v>
      </c>
      <c r="B10" s="112"/>
      <c r="C10" s="173"/>
      <c r="D10" s="174"/>
      <c r="E10" s="175"/>
      <c r="F10" s="173"/>
      <c r="G10" s="176"/>
      <c r="H10" s="174"/>
    </row>
    <row r="11" spans="1:8" ht="28.5">
      <c r="A11" s="89" t="s">
        <v>6</v>
      </c>
      <c r="B11" s="65" t="s">
        <v>7</v>
      </c>
      <c r="C11" s="177">
        <v>44.3</v>
      </c>
      <c r="D11" s="151">
        <v>45.4</v>
      </c>
      <c r="E11" s="151">
        <v>45.7</v>
      </c>
      <c r="F11" s="151">
        <v>46.1</v>
      </c>
      <c r="G11" s="151">
        <v>46.5</v>
      </c>
      <c r="H11" s="178">
        <v>46.8</v>
      </c>
    </row>
    <row r="12" spans="1:21" ht="15.75">
      <c r="A12" s="90" t="s">
        <v>122</v>
      </c>
      <c r="B12" s="65" t="s">
        <v>8</v>
      </c>
      <c r="C12" s="177"/>
      <c r="D12" s="151"/>
      <c r="E12" s="151"/>
      <c r="F12" s="151"/>
      <c r="G12" s="151"/>
      <c r="H12" s="17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.75">
      <c r="A13" s="91" t="s">
        <v>9</v>
      </c>
      <c r="B13" s="65" t="s">
        <v>7</v>
      </c>
      <c r="C13" s="177"/>
      <c r="D13" s="151"/>
      <c r="E13" s="151"/>
      <c r="F13" s="151"/>
      <c r="G13" s="151"/>
      <c r="H13" s="17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75">
      <c r="A14" s="91"/>
      <c r="B14" s="65" t="s">
        <v>8</v>
      </c>
      <c r="C14" s="177"/>
      <c r="D14" s="151"/>
      <c r="E14" s="151"/>
      <c r="F14" s="151"/>
      <c r="G14" s="151"/>
      <c r="H14" s="17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75">
      <c r="A15" s="91" t="s">
        <v>10</v>
      </c>
      <c r="B15" s="65" t="s">
        <v>7</v>
      </c>
      <c r="C15" s="177">
        <v>44.3</v>
      </c>
      <c r="D15" s="151">
        <v>45.4</v>
      </c>
      <c r="E15" s="151">
        <v>45.7</v>
      </c>
      <c r="F15" s="151">
        <v>46.1</v>
      </c>
      <c r="G15" s="151">
        <v>46.5</v>
      </c>
      <c r="H15" s="178">
        <v>46.8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75">
      <c r="A16" s="91"/>
      <c r="B16" s="65" t="s">
        <v>8</v>
      </c>
      <c r="C16" s="177"/>
      <c r="D16" s="151">
        <v>102</v>
      </c>
      <c r="E16" s="152">
        <f>E15/D15*100</f>
        <v>100.66079295154186</v>
      </c>
      <c r="F16" s="152">
        <f>F15/E15*100</f>
        <v>100.87527352297592</v>
      </c>
      <c r="G16" s="152">
        <f>G15/F15*100</f>
        <v>100.86767895878526</v>
      </c>
      <c r="H16" s="179">
        <f>H15/G15*100</f>
        <v>100.64516129032258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75">
      <c r="A17" s="89" t="s">
        <v>13</v>
      </c>
      <c r="B17" s="65" t="s">
        <v>14</v>
      </c>
      <c r="C17" s="177">
        <v>14.9</v>
      </c>
      <c r="D17" s="151">
        <v>15.1</v>
      </c>
      <c r="E17" s="151">
        <v>13.8</v>
      </c>
      <c r="F17" s="151">
        <v>13.8</v>
      </c>
      <c r="G17" s="151">
        <v>13.7</v>
      </c>
      <c r="H17" s="178">
        <v>13.6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75">
      <c r="A18" s="89" t="s">
        <v>15</v>
      </c>
      <c r="B18" s="65" t="s">
        <v>14</v>
      </c>
      <c r="C18" s="177">
        <v>14.6</v>
      </c>
      <c r="D18" s="151">
        <v>14.4</v>
      </c>
      <c r="E18" s="153">
        <v>14</v>
      </c>
      <c r="F18" s="153">
        <v>14</v>
      </c>
      <c r="G18" s="151">
        <v>13.9</v>
      </c>
      <c r="H18" s="178">
        <v>13.8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75">
      <c r="A19" s="89" t="s">
        <v>16</v>
      </c>
      <c r="B19" s="65" t="s">
        <v>14</v>
      </c>
      <c r="C19" s="177">
        <v>0.3</v>
      </c>
      <c r="D19" s="151">
        <v>0.7</v>
      </c>
      <c r="E19" s="154">
        <v>-0.2</v>
      </c>
      <c r="F19" s="154">
        <v>-0.26</v>
      </c>
      <c r="G19" s="154">
        <v>-0.19</v>
      </c>
      <c r="H19" s="180">
        <v>0.15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21" customHeight="1">
      <c r="A20" s="89" t="s">
        <v>17</v>
      </c>
      <c r="B20" s="65" t="s">
        <v>18</v>
      </c>
      <c r="C20" s="177">
        <v>72.5</v>
      </c>
      <c r="D20" s="151">
        <v>65.2</v>
      </c>
      <c r="E20" s="151">
        <v>89.2</v>
      </c>
      <c r="F20" s="151">
        <v>74.2</v>
      </c>
      <c r="G20" s="151">
        <v>75.1</v>
      </c>
      <c r="H20" s="178">
        <v>75.9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22.5" customHeight="1">
      <c r="A21" s="88" t="s">
        <v>19</v>
      </c>
      <c r="B21" s="65"/>
      <c r="C21" s="181"/>
      <c r="D21" s="155"/>
      <c r="E21" s="155"/>
      <c r="F21" s="155"/>
      <c r="G21" s="155"/>
      <c r="H21" s="182"/>
      <c r="I21" s="22"/>
      <c r="J21" s="22"/>
      <c r="K21" s="22"/>
      <c r="L21" s="22"/>
      <c r="M21" s="22"/>
      <c r="N21" s="22"/>
      <c r="O21" s="22"/>
      <c r="P21" s="22"/>
      <c r="Q21" s="6"/>
      <c r="R21" s="6"/>
      <c r="S21" s="6"/>
      <c r="T21" s="6"/>
      <c r="U21" s="6"/>
    </row>
    <row r="22" spans="1:21" ht="15.75">
      <c r="A22" s="92" t="s">
        <v>366</v>
      </c>
      <c r="B22" s="65"/>
      <c r="C22" s="181"/>
      <c r="D22" s="155"/>
      <c r="E22" s="155"/>
      <c r="F22" s="155"/>
      <c r="G22" s="155"/>
      <c r="H22" s="182"/>
      <c r="I22" s="22"/>
      <c r="J22" s="22"/>
      <c r="K22" s="22"/>
      <c r="L22" s="22"/>
      <c r="M22" s="22"/>
      <c r="N22" s="22"/>
      <c r="O22" s="22"/>
      <c r="P22" s="22"/>
      <c r="Q22" s="6"/>
      <c r="R22" s="6"/>
      <c r="S22" s="6"/>
      <c r="T22" s="6"/>
      <c r="U22" s="6"/>
    </row>
    <row r="23" spans="1:21" ht="15.75">
      <c r="A23" s="93" t="s">
        <v>20</v>
      </c>
      <c r="B23" s="65"/>
      <c r="C23" s="183">
        <v>15758.3</v>
      </c>
      <c r="D23" s="154">
        <v>24667.82</v>
      </c>
      <c r="E23" s="154">
        <v>35971.969</v>
      </c>
      <c r="F23" s="154">
        <v>37746.931</v>
      </c>
      <c r="G23" s="154">
        <v>40197.377</v>
      </c>
      <c r="H23" s="180">
        <v>42051.273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61.5" customHeight="1">
      <c r="A24" s="89" t="s">
        <v>358</v>
      </c>
      <c r="B24" s="65" t="s">
        <v>8</v>
      </c>
      <c r="C24" s="177">
        <v>119.3</v>
      </c>
      <c r="D24" s="151">
        <v>103.6</v>
      </c>
      <c r="E24" s="151">
        <v>115.2</v>
      </c>
      <c r="F24" s="151">
        <v>100.6</v>
      </c>
      <c r="G24" s="151">
        <v>100.6</v>
      </c>
      <c r="H24" s="178">
        <v>100.6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30">
      <c r="A25" s="93" t="s">
        <v>359</v>
      </c>
      <c r="B25" s="65"/>
      <c r="C25" s="177"/>
      <c r="D25" s="151"/>
      <c r="E25" s="151"/>
      <c r="F25" s="151"/>
      <c r="G25" s="151"/>
      <c r="H25" s="17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42.75">
      <c r="A26" s="89" t="s">
        <v>21</v>
      </c>
      <c r="B26" s="65" t="s">
        <v>22</v>
      </c>
      <c r="C26" s="183">
        <v>14286.747</v>
      </c>
      <c r="D26" s="154">
        <v>22276.734</v>
      </c>
      <c r="E26" s="154">
        <v>33183.51</v>
      </c>
      <c r="F26" s="154">
        <v>34634.891</v>
      </c>
      <c r="G26" s="154">
        <v>36644.258</v>
      </c>
      <c r="H26" s="180">
        <v>38039.045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75">
      <c r="A27" s="89" t="s">
        <v>23</v>
      </c>
      <c r="B27" s="65" t="s">
        <v>8</v>
      </c>
      <c r="C27" s="177">
        <f>'[1]Форма'!$C$15</f>
        <v>124.1</v>
      </c>
      <c r="D27" s="151">
        <v>104.1</v>
      </c>
      <c r="E27" s="151">
        <v>117</v>
      </c>
      <c r="F27" s="151">
        <v>100.1</v>
      </c>
      <c r="G27" s="151">
        <v>100</v>
      </c>
      <c r="H27" s="178">
        <v>100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75">
      <c r="A28" s="89" t="s">
        <v>24</v>
      </c>
      <c r="B28" s="65" t="s">
        <v>8</v>
      </c>
      <c r="C28" s="177">
        <v>70.8</v>
      </c>
      <c r="D28" s="151">
        <v>149.8</v>
      </c>
      <c r="E28" s="151">
        <v>127.3</v>
      </c>
      <c r="F28" s="151">
        <v>104.3</v>
      </c>
      <c r="G28" s="151">
        <v>105.8</v>
      </c>
      <c r="H28" s="178">
        <v>103.8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46.5" customHeight="1">
      <c r="A29" s="89" t="s">
        <v>25</v>
      </c>
      <c r="B29" s="65" t="s">
        <v>22</v>
      </c>
      <c r="C29" s="183">
        <v>14188.5</v>
      </c>
      <c r="D29" s="154">
        <v>22084.16</v>
      </c>
      <c r="E29" s="154">
        <v>32946.342</v>
      </c>
      <c r="F29" s="154">
        <v>34363.035</v>
      </c>
      <c r="G29" s="154">
        <v>36356.091</v>
      </c>
      <c r="H29" s="180">
        <v>37737.623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28.5">
      <c r="A30" s="89" t="s">
        <v>26</v>
      </c>
      <c r="B30" s="65" t="s">
        <v>8</v>
      </c>
      <c r="C30" s="177">
        <v>125.3</v>
      </c>
      <c r="D30" s="151">
        <v>103.9</v>
      </c>
      <c r="E30" s="151">
        <v>117.1</v>
      </c>
      <c r="F30" s="151">
        <v>100</v>
      </c>
      <c r="G30" s="151">
        <v>100</v>
      </c>
      <c r="H30" s="178">
        <v>100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28.5">
      <c r="A31" s="89" t="s">
        <v>27</v>
      </c>
      <c r="B31" s="65" t="s">
        <v>8</v>
      </c>
      <c r="C31" s="177">
        <v>70.6</v>
      </c>
      <c r="D31" s="151">
        <v>149.8</v>
      </c>
      <c r="E31" s="151">
        <v>127.4</v>
      </c>
      <c r="F31" s="151">
        <v>104.3</v>
      </c>
      <c r="G31" s="151">
        <v>105.8</v>
      </c>
      <c r="H31" s="178">
        <v>103.8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57">
      <c r="A32" s="89" t="s">
        <v>28</v>
      </c>
      <c r="B32" s="65" t="s">
        <v>22</v>
      </c>
      <c r="C32" s="183">
        <v>98.294</v>
      </c>
      <c r="D32" s="154">
        <v>192.6</v>
      </c>
      <c r="E32" s="154">
        <v>237.2</v>
      </c>
      <c r="F32" s="154">
        <v>271.9</v>
      </c>
      <c r="G32" s="154">
        <v>288.2</v>
      </c>
      <c r="H32" s="180">
        <v>301.4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28.5">
      <c r="A33" s="89" t="s">
        <v>29</v>
      </c>
      <c r="B33" s="65" t="s">
        <v>8</v>
      </c>
      <c r="C33" s="184">
        <v>44.9</v>
      </c>
      <c r="D33" s="153">
        <v>168</v>
      </c>
      <c r="E33" s="153">
        <v>102.1</v>
      </c>
      <c r="F33" s="153">
        <v>109</v>
      </c>
      <c r="G33" s="153">
        <v>100</v>
      </c>
      <c r="H33" s="185">
        <v>100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143" t="s">
        <v>30</v>
      </c>
      <c r="B34" s="144" t="s">
        <v>8</v>
      </c>
      <c r="C34" s="186">
        <v>101</v>
      </c>
      <c r="D34" s="156">
        <v>116.6</v>
      </c>
      <c r="E34" s="156">
        <v>120.6</v>
      </c>
      <c r="F34" s="156">
        <v>105.2</v>
      </c>
      <c r="G34" s="156">
        <v>106</v>
      </c>
      <c r="H34" s="187">
        <v>104.6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8.75" customHeight="1">
      <c r="A35" s="143"/>
      <c r="B35" s="144"/>
      <c r="C35" s="186"/>
      <c r="D35" s="156"/>
      <c r="E35" s="156"/>
      <c r="F35" s="156"/>
      <c r="G35" s="156"/>
      <c r="H35" s="18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30">
      <c r="A36" s="93" t="s">
        <v>360</v>
      </c>
      <c r="B36" s="65"/>
      <c r="C36" s="177"/>
      <c r="D36" s="151"/>
      <c r="E36" s="151"/>
      <c r="F36" s="151"/>
      <c r="G36" s="151"/>
      <c r="H36" s="17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48.75" customHeight="1">
      <c r="A37" s="89" t="s">
        <v>31</v>
      </c>
      <c r="B37" s="65" t="s">
        <v>22</v>
      </c>
      <c r="C37" s="183">
        <v>1130.335</v>
      </c>
      <c r="D37" s="154">
        <v>1952.893</v>
      </c>
      <c r="E37" s="154">
        <v>2199.336</v>
      </c>
      <c r="F37" s="154">
        <v>2410.177</v>
      </c>
      <c r="G37" s="154">
        <v>2689.132</v>
      </c>
      <c r="H37" s="180">
        <v>2974.393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21" customHeight="1">
      <c r="A38" s="89" t="s">
        <v>32</v>
      </c>
      <c r="B38" s="65" t="s">
        <v>8</v>
      </c>
      <c r="C38" s="177">
        <v>99</v>
      </c>
      <c r="D38" s="151">
        <v>100.6</v>
      </c>
      <c r="E38" s="151">
        <v>94.9</v>
      </c>
      <c r="F38" s="151">
        <v>106.2</v>
      </c>
      <c r="G38" s="151">
        <v>105.9</v>
      </c>
      <c r="H38" s="178">
        <v>105.6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.75">
      <c r="A39" s="89" t="s">
        <v>33</v>
      </c>
      <c r="B39" s="65" t="s">
        <v>8</v>
      </c>
      <c r="C39" s="177">
        <v>58.7</v>
      </c>
      <c r="D39" s="151">
        <v>145.8</v>
      </c>
      <c r="E39" s="151">
        <v>118.7</v>
      </c>
      <c r="F39" s="151">
        <v>103.2</v>
      </c>
      <c r="G39" s="151">
        <v>105.3</v>
      </c>
      <c r="H39" s="178">
        <v>104.6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57">
      <c r="A40" s="89" t="s">
        <v>34</v>
      </c>
      <c r="B40" s="65" t="s">
        <v>22</v>
      </c>
      <c r="C40" s="183">
        <v>282.23</v>
      </c>
      <c r="D40" s="154">
        <v>930.264</v>
      </c>
      <c r="E40" s="154">
        <v>1081.303</v>
      </c>
      <c r="F40" s="154">
        <v>1170.367</v>
      </c>
      <c r="G40" s="154">
        <v>1250.924</v>
      </c>
      <c r="H40" s="180">
        <v>1312.587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28.5">
      <c r="A41" s="89" t="s">
        <v>35</v>
      </c>
      <c r="B41" s="65" t="s">
        <v>8</v>
      </c>
      <c r="C41" s="177">
        <v>94.6</v>
      </c>
      <c r="D41" s="151">
        <v>107.4</v>
      </c>
      <c r="E41" s="151">
        <v>100.3</v>
      </c>
      <c r="F41" s="151">
        <v>102.4</v>
      </c>
      <c r="G41" s="151">
        <v>101.6</v>
      </c>
      <c r="H41" s="178">
        <v>100.7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28.5">
      <c r="A42" s="89" t="s">
        <v>36</v>
      </c>
      <c r="B42" s="65" t="s">
        <v>8</v>
      </c>
      <c r="C42" s="177">
        <v>28.2</v>
      </c>
      <c r="D42" s="151">
        <v>306.9</v>
      </c>
      <c r="E42" s="151">
        <v>115.9</v>
      </c>
      <c r="F42" s="151">
        <v>105.7</v>
      </c>
      <c r="G42" s="151">
        <v>105.2</v>
      </c>
      <c r="H42" s="178">
        <v>104.2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48" customHeight="1">
      <c r="A43" s="89" t="s">
        <v>37</v>
      </c>
      <c r="B43" s="65" t="s">
        <v>22</v>
      </c>
      <c r="C43" s="177">
        <v>0.656</v>
      </c>
      <c r="D43" s="151">
        <v>0.7</v>
      </c>
      <c r="E43" s="151">
        <v>0.911</v>
      </c>
      <c r="F43" s="151">
        <v>1.009</v>
      </c>
      <c r="G43" s="151">
        <v>1.054</v>
      </c>
      <c r="H43" s="178">
        <v>1.101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28.5">
      <c r="A44" s="89" t="s">
        <v>38</v>
      </c>
      <c r="B44" s="65" t="s">
        <v>8</v>
      </c>
      <c r="C44" s="177"/>
      <c r="D44" s="151">
        <v>80.1</v>
      </c>
      <c r="E44" s="151">
        <v>100</v>
      </c>
      <c r="F44" s="151">
        <v>100</v>
      </c>
      <c r="G44" s="151">
        <v>100</v>
      </c>
      <c r="H44" s="178">
        <v>100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28.5">
      <c r="A45" s="89" t="s">
        <v>39</v>
      </c>
      <c r="B45" s="65" t="s">
        <v>8</v>
      </c>
      <c r="C45" s="177"/>
      <c r="D45" s="151">
        <v>133.2</v>
      </c>
      <c r="E45" s="151">
        <v>130.2</v>
      </c>
      <c r="F45" s="151">
        <v>110.7</v>
      </c>
      <c r="G45" s="151">
        <v>104.3</v>
      </c>
      <c r="H45" s="178">
        <v>104.4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57">
      <c r="A46" s="89" t="s">
        <v>40</v>
      </c>
      <c r="B46" s="65" t="s">
        <v>22</v>
      </c>
      <c r="C46" s="177"/>
      <c r="D46" s="151"/>
      <c r="E46" s="151"/>
      <c r="F46" s="151"/>
      <c r="G46" s="151"/>
      <c r="H46" s="17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28.5">
      <c r="A47" s="89" t="s">
        <v>41</v>
      </c>
      <c r="B47" s="65" t="s">
        <v>8</v>
      </c>
      <c r="C47" s="181"/>
      <c r="D47" s="155"/>
      <c r="E47" s="155"/>
      <c r="F47" s="155"/>
      <c r="G47" s="155"/>
      <c r="H47" s="18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28.5">
      <c r="A48" s="89" t="s">
        <v>42</v>
      </c>
      <c r="B48" s="65" t="s">
        <v>8</v>
      </c>
      <c r="C48" s="177"/>
      <c r="D48" s="151"/>
      <c r="E48" s="151"/>
      <c r="F48" s="151"/>
      <c r="G48" s="151"/>
      <c r="H48" s="17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57">
      <c r="A49" s="89" t="s">
        <v>43</v>
      </c>
      <c r="B49" s="65" t="s">
        <v>22</v>
      </c>
      <c r="C49" s="177">
        <v>9.599</v>
      </c>
      <c r="D49" s="151">
        <v>6.21</v>
      </c>
      <c r="E49" s="151">
        <v>6.729</v>
      </c>
      <c r="F49" s="151">
        <v>7.553</v>
      </c>
      <c r="G49" s="151">
        <v>8.535</v>
      </c>
      <c r="H49" s="178">
        <v>9.49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28.5">
      <c r="A50" s="89" t="s">
        <v>44</v>
      </c>
      <c r="B50" s="65" t="s">
        <v>8</v>
      </c>
      <c r="C50" s="177">
        <v>101.5</v>
      </c>
      <c r="D50" s="151">
        <v>59.4</v>
      </c>
      <c r="E50" s="151">
        <v>100.8</v>
      </c>
      <c r="F50" s="151">
        <v>106.8</v>
      </c>
      <c r="G50" s="151">
        <v>106.8</v>
      </c>
      <c r="H50" s="178">
        <v>105.6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28.5">
      <c r="A51" s="89" t="s">
        <v>45</v>
      </c>
      <c r="B51" s="65" t="s">
        <v>8</v>
      </c>
      <c r="C51" s="177">
        <v>140.6</v>
      </c>
      <c r="D51" s="151">
        <v>108.9</v>
      </c>
      <c r="E51" s="151">
        <v>107.5</v>
      </c>
      <c r="F51" s="151">
        <v>105.1</v>
      </c>
      <c r="G51" s="151">
        <v>105.8</v>
      </c>
      <c r="H51" s="178">
        <v>105.3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62.25" customHeight="1">
      <c r="A52" s="89" t="s">
        <v>46</v>
      </c>
      <c r="B52" s="65" t="s">
        <v>22</v>
      </c>
      <c r="C52" s="177">
        <v>0.322</v>
      </c>
      <c r="D52" s="151">
        <v>0.239</v>
      </c>
      <c r="E52" s="151">
        <v>0.268</v>
      </c>
      <c r="F52" s="151">
        <v>0.277</v>
      </c>
      <c r="G52" s="151">
        <v>0.295</v>
      </c>
      <c r="H52" s="178">
        <v>0.311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28.5">
      <c r="A53" s="89" t="s">
        <v>47</v>
      </c>
      <c r="B53" s="65" t="s">
        <v>8</v>
      </c>
      <c r="C53" s="184">
        <v>161.8</v>
      </c>
      <c r="D53" s="153">
        <v>37.2</v>
      </c>
      <c r="E53" s="153">
        <v>100.2</v>
      </c>
      <c r="F53" s="153">
        <v>100</v>
      </c>
      <c r="G53" s="153">
        <v>101.1</v>
      </c>
      <c r="H53" s="185">
        <v>100.5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28.5">
      <c r="A54" s="89" t="s">
        <v>48</v>
      </c>
      <c r="B54" s="65" t="s">
        <v>8</v>
      </c>
      <c r="C54" s="184">
        <v>82.9</v>
      </c>
      <c r="D54" s="153">
        <v>199.5</v>
      </c>
      <c r="E54" s="153">
        <v>111.8</v>
      </c>
      <c r="F54" s="153">
        <v>103.6</v>
      </c>
      <c r="G54" s="153">
        <v>105.2</v>
      </c>
      <c r="H54" s="185">
        <v>105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57">
      <c r="A55" s="89" t="s">
        <v>49</v>
      </c>
      <c r="B55" s="65" t="s">
        <v>22</v>
      </c>
      <c r="C55" s="183">
        <v>796.13</v>
      </c>
      <c r="D55" s="154">
        <v>966.418</v>
      </c>
      <c r="E55" s="154">
        <v>1045.446</v>
      </c>
      <c r="F55" s="154">
        <v>1153.44</v>
      </c>
      <c r="G55" s="154">
        <v>1336.03</v>
      </c>
      <c r="H55" s="180">
        <v>1541.645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28.5">
      <c r="A56" s="89" t="s">
        <v>50</v>
      </c>
      <c r="B56" s="65" t="s">
        <v>8</v>
      </c>
      <c r="C56" s="188">
        <v>131.4</v>
      </c>
      <c r="D56" s="157">
        <v>94.3</v>
      </c>
      <c r="E56" s="157">
        <v>88.7</v>
      </c>
      <c r="F56" s="157">
        <v>110</v>
      </c>
      <c r="G56" s="157">
        <v>110</v>
      </c>
      <c r="H56" s="189">
        <v>110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28.5">
      <c r="A57" s="89" t="s">
        <v>51</v>
      </c>
      <c r="B57" s="65" t="s">
        <v>8</v>
      </c>
      <c r="C57" s="184">
        <v>83</v>
      </c>
      <c r="D57" s="153">
        <v>128.7</v>
      </c>
      <c r="E57" s="153">
        <v>122</v>
      </c>
      <c r="F57" s="153">
        <v>100.3</v>
      </c>
      <c r="G57" s="153">
        <v>105.3</v>
      </c>
      <c r="H57" s="185">
        <v>104.9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46.5" customHeight="1">
      <c r="A58" s="89" t="s">
        <v>52</v>
      </c>
      <c r="B58" s="65" t="s">
        <v>22</v>
      </c>
      <c r="C58" s="177"/>
      <c r="D58" s="151"/>
      <c r="E58" s="151"/>
      <c r="F58" s="151"/>
      <c r="G58" s="151"/>
      <c r="H58" s="17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89" t="s">
        <v>53</v>
      </c>
      <c r="B59" s="65" t="s">
        <v>8</v>
      </c>
      <c r="C59" s="177"/>
      <c r="D59" s="151"/>
      <c r="E59" s="151"/>
      <c r="F59" s="151"/>
      <c r="G59" s="151"/>
      <c r="H59" s="17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89" t="s">
        <v>54</v>
      </c>
      <c r="B60" s="65" t="s">
        <v>8</v>
      </c>
      <c r="C60" s="177"/>
      <c r="D60" s="151"/>
      <c r="E60" s="151"/>
      <c r="F60" s="151"/>
      <c r="G60" s="151"/>
      <c r="H60" s="178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47.25" customHeight="1">
      <c r="A61" s="89" t="s">
        <v>55</v>
      </c>
      <c r="B61" s="65" t="s">
        <v>22</v>
      </c>
      <c r="C61" s="177"/>
      <c r="D61" s="151"/>
      <c r="E61" s="151"/>
      <c r="F61" s="151"/>
      <c r="G61" s="151"/>
      <c r="H61" s="178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28.5">
      <c r="A62" s="89" t="s">
        <v>56</v>
      </c>
      <c r="B62" s="65" t="s">
        <v>8</v>
      </c>
      <c r="C62" s="177"/>
      <c r="D62" s="151"/>
      <c r="E62" s="151"/>
      <c r="F62" s="151"/>
      <c r="G62" s="151"/>
      <c r="H62" s="17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28.5">
      <c r="A63" s="89" t="s">
        <v>57</v>
      </c>
      <c r="B63" s="65" t="s">
        <v>8</v>
      </c>
      <c r="C63" s="177"/>
      <c r="D63" s="151"/>
      <c r="E63" s="151"/>
      <c r="F63" s="151"/>
      <c r="G63" s="151"/>
      <c r="H63" s="17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57">
      <c r="A64" s="89" t="s">
        <v>58</v>
      </c>
      <c r="B64" s="65" t="s">
        <v>22</v>
      </c>
      <c r="C64" s="183">
        <v>40.039</v>
      </c>
      <c r="D64" s="154">
        <v>49.052</v>
      </c>
      <c r="E64" s="154">
        <v>64.679</v>
      </c>
      <c r="F64" s="154">
        <v>77.301</v>
      </c>
      <c r="G64" s="154">
        <v>92.293</v>
      </c>
      <c r="H64" s="180">
        <v>109.258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28.5">
      <c r="A65" s="89" t="s">
        <v>59</v>
      </c>
      <c r="B65" s="65" t="s">
        <v>8</v>
      </c>
      <c r="C65" s="177">
        <v>33.2</v>
      </c>
      <c r="D65" s="151">
        <v>80.8</v>
      </c>
      <c r="E65" s="151">
        <v>114.6</v>
      </c>
      <c r="F65" s="151">
        <v>110.1</v>
      </c>
      <c r="G65" s="151">
        <v>109.9</v>
      </c>
      <c r="H65" s="178">
        <v>110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28.5">
      <c r="A66" s="89" t="s">
        <v>60</v>
      </c>
      <c r="B66" s="65" t="s">
        <v>8</v>
      </c>
      <c r="C66" s="177">
        <v>82.6</v>
      </c>
      <c r="D66" s="151">
        <v>151.6</v>
      </c>
      <c r="E66" s="151">
        <v>115.1</v>
      </c>
      <c r="F66" s="151">
        <v>108.6</v>
      </c>
      <c r="G66" s="151">
        <v>108.6</v>
      </c>
      <c r="H66" s="178">
        <v>107.6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61.5" customHeight="1">
      <c r="A67" s="89" t="s">
        <v>61</v>
      </c>
      <c r="B67" s="65" t="s">
        <v>22</v>
      </c>
      <c r="C67" s="177">
        <v>1.319</v>
      </c>
      <c r="D67" s="151">
        <v>0</v>
      </c>
      <c r="E67" s="151">
        <v>0</v>
      </c>
      <c r="F67" s="151">
        <v>0</v>
      </c>
      <c r="G67" s="151">
        <v>0</v>
      </c>
      <c r="H67" s="178"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33" customHeight="1">
      <c r="A68" s="89" t="s">
        <v>62</v>
      </c>
      <c r="B68" s="65" t="s">
        <v>8</v>
      </c>
      <c r="C68" s="177">
        <v>52.6</v>
      </c>
      <c r="D68" s="151">
        <v>1352.3</v>
      </c>
      <c r="E68" s="151">
        <v>118</v>
      </c>
      <c r="F68" s="151">
        <v>105</v>
      </c>
      <c r="G68" s="151">
        <v>105.8</v>
      </c>
      <c r="H68" s="178">
        <v>104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28.5">
      <c r="A69" s="89" t="s">
        <v>63</v>
      </c>
      <c r="B69" s="65" t="s">
        <v>8</v>
      </c>
      <c r="C69" s="177">
        <v>520.2</v>
      </c>
      <c r="D69" s="151">
        <v>22.3</v>
      </c>
      <c r="E69" s="151">
        <v>119.1</v>
      </c>
      <c r="F69" s="151">
        <v>100.3</v>
      </c>
      <c r="G69" s="151">
        <v>105.3</v>
      </c>
      <c r="H69" s="178">
        <v>104.9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57">
      <c r="A70" s="89" t="s">
        <v>64</v>
      </c>
      <c r="B70" s="65" t="s">
        <v>22</v>
      </c>
      <c r="C70" s="177">
        <v>0.037</v>
      </c>
      <c r="D70" s="151">
        <v>0.01</v>
      </c>
      <c r="E70" s="151"/>
      <c r="F70" s="151"/>
      <c r="G70" s="151"/>
      <c r="H70" s="178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28.5">
      <c r="A71" s="89" t="s">
        <v>65</v>
      </c>
      <c r="B71" s="65" t="s">
        <v>8</v>
      </c>
      <c r="C71" s="177">
        <v>39.7</v>
      </c>
      <c r="D71" s="151">
        <v>23.8</v>
      </c>
      <c r="E71" s="151"/>
      <c r="F71" s="151"/>
      <c r="G71" s="151"/>
      <c r="H71" s="17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28.5">
      <c r="A72" s="89" t="s">
        <v>66</v>
      </c>
      <c r="B72" s="65" t="s">
        <v>8</v>
      </c>
      <c r="C72" s="177">
        <v>109.6</v>
      </c>
      <c r="D72" s="151">
        <v>113.6</v>
      </c>
      <c r="E72" s="151"/>
      <c r="F72" s="151">
        <v>106.5</v>
      </c>
      <c r="G72" s="151">
        <v>105.4</v>
      </c>
      <c r="H72" s="178">
        <v>105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61.5" customHeight="1">
      <c r="A73" s="89" t="s">
        <v>67</v>
      </c>
      <c r="B73" s="65" t="s">
        <v>22</v>
      </c>
      <c r="C73" s="177"/>
      <c r="D73" s="151"/>
      <c r="E73" s="151"/>
      <c r="F73" s="151"/>
      <c r="G73" s="151"/>
      <c r="H73" s="178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28.5">
      <c r="A74" s="89" t="s">
        <v>68</v>
      </c>
      <c r="B74" s="65" t="s">
        <v>8</v>
      </c>
      <c r="C74" s="177"/>
      <c r="D74" s="151"/>
      <c r="E74" s="151"/>
      <c r="F74" s="151"/>
      <c r="G74" s="151"/>
      <c r="H74" s="178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33.75" customHeight="1">
      <c r="A75" s="89" t="s">
        <v>69</v>
      </c>
      <c r="B75" s="65" t="s">
        <v>8</v>
      </c>
      <c r="C75" s="177"/>
      <c r="D75" s="151"/>
      <c r="E75" s="151"/>
      <c r="F75" s="151"/>
      <c r="G75" s="151"/>
      <c r="H75" s="178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48" customHeight="1">
      <c r="A76" s="89" t="s">
        <v>70</v>
      </c>
      <c r="B76" s="65" t="s">
        <v>22</v>
      </c>
      <c r="C76" s="177"/>
      <c r="D76" s="151"/>
      <c r="E76" s="151"/>
      <c r="F76" s="151"/>
      <c r="G76" s="151"/>
      <c r="H76" s="178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28.5">
      <c r="A77" s="89" t="s">
        <v>71</v>
      </c>
      <c r="B77" s="65" t="s">
        <v>8</v>
      </c>
      <c r="C77" s="177"/>
      <c r="D77" s="151"/>
      <c r="E77" s="151"/>
      <c r="F77" s="151"/>
      <c r="G77" s="151"/>
      <c r="H77" s="178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28.5">
      <c r="A78" s="89" t="s">
        <v>72</v>
      </c>
      <c r="B78" s="65" t="s">
        <v>8</v>
      </c>
      <c r="C78" s="177"/>
      <c r="D78" s="151"/>
      <c r="E78" s="151"/>
      <c r="F78" s="151"/>
      <c r="G78" s="151"/>
      <c r="H78" s="178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42.75">
      <c r="A79" s="89" t="s">
        <v>73</v>
      </c>
      <c r="B79" s="65" t="s">
        <v>22</v>
      </c>
      <c r="C79" s="177"/>
      <c r="D79" s="151"/>
      <c r="E79" s="151"/>
      <c r="F79" s="151"/>
      <c r="G79" s="151"/>
      <c r="H79" s="178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89" t="s">
        <v>74</v>
      </c>
      <c r="B80" s="65" t="s">
        <v>8</v>
      </c>
      <c r="C80" s="177"/>
      <c r="D80" s="151"/>
      <c r="E80" s="151"/>
      <c r="F80" s="151"/>
      <c r="G80" s="151"/>
      <c r="H80" s="178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89" t="s">
        <v>75</v>
      </c>
      <c r="B81" s="65" t="s">
        <v>8</v>
      </c>
      <c r="C81" s="177"/>
      <c r="D81" s="151"/>
      <c r="E81" s="151"/>
      <c r="F81" s="151">
        <v>106.1</v>
      </c>
      <c r="G81" s="151">
        <v>105.9</v>
      </c>
      <c r="H81" s="178">
        <v>105.6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35.25" customHeight="1">
      <c r="A82" s="93" t="s">
        <v>367</v>
      </c>
      <c r="B82" s="65"/>
      <c r="C82" s="177"/>
      <c r="D82" s="151"/>
      <c r="E82" s="151"/>
      <c r="F82" s="151"/>
      <c r="G82" s="151"/>
      <c r="H82" s="178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60">
      <c r="A83" s="89" t="s">
        <v>77</v>
      </c>
      <c r="B83" s="65" t="s">
        <v>22</v>
      </c>
      <c r="C83" s="183">
        <v>341.21</v>
      </c>
      <c r="D83" s="154">
        <v>438.194</v>
      </c>
      <c r="E83" s="154">
        <v>589.123</v>
      </c>
      <c r="F83" s="154">
        <v>701.863</v>
      </c>
      <c r="G83" s="154">
        <v>863.987</v>
      </c>
      <c r="H83" s="180">
        <v>1037.835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28.5">
      <c r="A84" s="89" t="s">
        <v>78</v>
      </c>
      <c r="B84" s="65" t="s">
        <v>8</v>
      </c>
      <c r="C84" s="177">
        <v>103.1</v>
      </c>
      <c r="D84" s="151">
        <v>100.2</v>
      </c>
      <c r="E84" s="151">
        <v>115.7</v>
      </c>
      <c r="F84" s="151">
        <v>109.3</v>
      </c>
      <c r="G84" s="151">
        <v>111</v>
      </c>
      <c r="H84" s="178">
        <v>109.6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28.5">
      <c r="A85" s="89" t="s">
        <v>79</v>
      </c>
      <c r="B85" s="65" t="s">
        <v>8</v>
      </c>
      <c r="C85" s="177">
        <v>29.8</v>
      </c>
      <c r="D85" s="151">
        <v>128.2</v>
      </c>
      <c r="E85" s="151">
        <v>116.2</v>
      </c>
      <c r="F85" s="151">
        <v>109</v>
      </c>
      <c r="G85" s="151">
        <v>110.9</v>
      </c>
      <c r="H85" s="178">
        <v>109.6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>
      <c r="A86" s="93" t="s">
        <v>80</v>
      </c>
      <c r="B86" s="65"/>
      <c r="C86" s="177"/>
      <c r="D86" s="151"/>
      <c r="E86" s="151"/>
      <c r="F86" s="151"/>
      <c r="G86" s="151"/>
      <c r="H86" s="178"/>
      <c r="I86" s="22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28.5">
      <c r="A87" s="89" t="s">
        <v>81</v>
      </c>
      <c r="B87" s="65" t="s">
        <v>82</v>
      </c>
      <c r="C87" s="177">
        <v>3037.5</v>
      </c>
      <c r="D87" s="151">
        <v>3055.7</v>
      </c>
      <c r="E87" s="151">
        <v>3395.1</v>
      </c>
      <c r="F87" s="151">
        <v>3603.3</v>
      </c>
      <c r="G87" s="153">
        <v>3859.3</v>
      </c>
      <c r="H87" s="185">
        <v>4040.7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28.5">
      <c r="A88" s="89" t="s">
        <v>83</v>
      </c>
      <c r="B88" s="65" t="s">
        <v>8</v>
      </c>
      <c r="C88" s="177">
        <v>97</v>
      </c>
      <c r="D88" s="151">
        <v>94.9</v>
      </c>
      <c r="E88" s="153">
        <v>102.9</v>
      </c>
      <c r="F88" s="151">
        <v>101</v>
      </c>
      <c r="G88" s="153">
        <v>102.1</v>
      </c>
      <c r="H88" s="178">
        <v>100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28.5">
      <c r="A89" s="89" t="s">
        <v>84</v>
      </c>
      <c r="B89" s="65" t="s">
        <v>8</v>
      </c>
      <c r="C89" s="177">
        <v>94.3</v>
      </c>
      <c r="D89" s="151">
        <v>106</v>
      </c>
      <c r="E89" s="151">
        <v>107.9</v>
      </c>
      <c r="F89" s="151">
        <v>105.1</v>
      </c>
      <c r="G89" s="151">
        <v>104.9</v>
      </c>
      <c r="H89" s="178">
        <v>104.7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9.5">
      <c r="A90" s="89" t="s">
        <v>85</v>
      </c>
      <c r="B90" s="65" t="s">
        <v>22</v>
      </c>
      <c r="C90" s="177">
        <v>1955.1</v>
      </c>
      <c r="D90" s="151">
        <v>1885.7</v>
      </c>
      <c r="E90" s="151">
        <v>2137.8</v>
      </c>
      <c r="F90" s="153">
        <v>2265.4</v>
      </c>
      <c r="G90" s="151">
        <v>2454.5</v>
      </c>
      <c r="H90" s="178">
        <v>2569.9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28.5">
      <c r="A91" s="89" t="s">
        <v>86</v>
      </c>
      <c r="B91" s="65" t="s">
        <v>8</v>
      </c>
      <c r="C91" s="177">
        <v>93.5</v>
      </c>
      <c r="D91" s="151"/>
      <c r="E91" s="151">
        <v>105.2</v>
      </c>
      <c r="F91" s="151">
        <v>100.8</v>
      </c>
      <c r="G91" s="151">
        <v>103.2</v>
      </c>
      <c r="H91" s="178">
        <v>100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28.5">
      <c r="A92" s="89" t="s">
        <v>87</v>
      </c>
      <c r="B92" s="65" t="s">
        <v>22</v>
      </c>
      <c r="C92" s="177">
        <v>157.1</v>
      </c>
      <c r="D92" s="151">
        <v>117.9</v>
      </c>
      <c r="E92" s="151">
        <v>94.6</v>
      </c>
      <c r="F92" s="151">
        <v>107.7</v>
      </c>
      <c r="G92" s="151">
        <v>113.1</v>
      </c>
      <c r="H92" s="178">
        <v>118.4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42.75">
      <c r="A93" s="89" t="s">
        <v>88</v>
      </c>
      <c r="B93" s="65" t="s">
        <v>8</v>
      </c>
      <c r="C93" s="177">
        <v>108.9</v>
      </c>
      <c r="D93" s="151"/>
      <c r="E93" s="151">
        <v>74.4</v>
      </c>
      <c r="F93" s="151">
        <v>108.3</v>
      </c>
      <c r="G93" s="151">
        <v>100</v>
      </c>
      <c r="H93" s="178">
        <v>100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9.5">
      <c r="A94" s="89" t="s">
        <v>89</v>
      </c>
      <c r="B94" s="65" t="s">
        <v>22</v>
      </c>
      <c r="C94" s="177">
        <v>925.3</v>
      </c>
      <c r="D94" s="151">
        <v>1052.1</v>
      </c>
      <c r="E94" s="151">
        <v>1162.7</v>
      </c>
      <c r="F94" s="151">
        <v>1230.2</v>
      </c>
      <c r="G94" s="151">
        <v>1291.7</v>
      </c>
      <c r="H94" s="178">
        <v>1352.4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21" customHeight="1">
      <c r="A95" s="89" t="s">
        <v>90</v>
      </c>
      <c r="B95" s="65" t="s">
        <v>8</v>
      </c>
      <c r="C95" s="177">
        <v>102.6</v>
      </c>
      <c r="D95" s="151"/>
      <c r="E95" s="151">
        <v>102.5</v>
      </c>
      <c r="F95" s="151">
        <v>100.7</v>
      </c>
      <c r="G95" s="151">
        <v>100</v>
      </c>
      <c r="H95" s="178">
        <v>100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30">
      <c r="A96" s="93" t="s">
        <v>91</v>
      </c>
      <c r="B96" s="65"/>
      <c r="C96" s="177"/>
      <c r="D96" s="151"/>
      <c r="E96" s="151"/>
      <c r="F96" s="151"/>
      <c r="G96" s="151"/>
      <c r="H96" s="178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5.75">
      <c r="A97" s="89" t="s">
        <v>92</v>
      </c>
      <c r="B97" s="65" t="s">
        <v>93</v>
      </c>
      <c r="C97" s="177">
        <v>80.4</v>
      </c>
      <c r="D97" s="153">
        <v>63.1</v>
      </c>
      <c r="E97" s="153">
        <f>E107+E116+E125</f>
        <v>49</v>
      </c>
      <c r="F97" s="153">
        <f>F107+F116+F125</f>
        <v>49</v>
      </c>
      <c r="G97" s="153">
        <f>G107+G116+G125</f>
        <v>48.4</v>
      </c>
      <c r="H97" s="190">
        <v>60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5.75">
      <c r="A98" s="90" t="s">
        <v>374</v>
      </c>
      <c r="B98" s="66"/>
      <c r="C98" s="177"/>
      <c r="D98" s="153"/>
      <c r="E98" s="153"/>
      <c r="F98" s="153"/>
      <c r="G98" s="153"/>
      <c r="H98" s="190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5.75">
      <c r="A99" s="91" t="s">
        <v>375</v>
      </c>
      <c r="B99" s="65" t="s">
        <v>93</v>
      </c>
      <c r="C99" s="183">
        <f aca="true" t="shared" si="0" ref="C99:H103">C109+C118+C127</f>
        <v>0.06</v>
      </c>
      <c r="D99" s="154">
        <f t="shared" si="0"/>
        <v>0.1</v>
      </c>
      <c r="E99" s="154">
        <f t="shared" si="0"/>
        <v>0.1</v>
      </c>
      <c r="F99" s="154">
        <f t="shared" si="0"/>
        <v>0.1</v>
      </c>
      <c r="G99" s="154">
        <f t="shared" si="0"/>
        <v>0.1</v>
      </c>
      <c r="H99" s="180">
        <f t="shared" si="0"/>
        <v>0.1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5.75">
      <c r="A100" s="89" t="s">
        <v>94</v>
      </c>
      <c r="B100" s="65" t="s">
        <v>93</v>
      </c>
      <c r="C100" s="177">
        <v>68.9</v>
      </c>
      <c r="D100" s="153">
        <v>67.6</v>
      </c>
      <c r="E100" s="153">
        <f t="shared" si="0"/>
        <v>67</v>
      </c>
      <c r="F100" s="153">
        <f t="shared" si="0"/>
        <v>67.1</v>
      </c>
      <c r="G100" s="153">
        <f t="shared" si="0"/>
        <v>67.1</v>
      </c>
      <c r="H100" s="190">
        <v>67.1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5.75">
      <c r="A101" s="89" t="s">
        <v>95</v>
      </c>
      <c r="B101" s="65" t="s">
        <v>93</v>
      </c>
      <c r="C101" s="177">
        <v>33.2</v>
      </c>
      <c r="D101" s="153">
        <v>29.2</v>
      </c>
      <c r="E101" s="153">
        <f t="shared" si="0"/>
        <v>31</v>
      </c>
      <c r="F101" s="153">
        <f t="shared" si="0"/>
        <v>31.5</v>
      </c>
      <c r="G101" s="153">
        <f t="shared" si="0"/>
        <v>31.5</v>
      </c>
      <c r="H101" s="190">
        <v>31.5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5.75">
      <c r="A102" s="89" t="s">
        <v>96</v>
      </c>
      <c r="B102" s="65" t="s">
        <v>93</v>
      </c>
      <c r="C102" s="177">
        <v>13.1</v>
      </c>
      <c r="D102" s="153">
        <v>14</v>
      </c>
      <c r="E102" s="153">
        <f t="shared" si="0"/>
        <v>14.700000000000001</v>
      </c>
      <c r="F102" s="153">
        <f t="shared" si="0"/>
        <v>15</v>
      </c>
      <c r="G102" s="153">
        <f t="shared" si="0"/>
        <v>15</v>
      </c>
      <c r="H102" s="190">
        <v>15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5.75">
      <c r="A103" s="89" t="s">
        <v>97</v>
      </c>
      <c r="B103" s="65" t="s">
        <v>93</v>
      </c>
      <c r="C103" s="177">
        <v>25.6</v>
      </c>
      <c r="D103" s="153">
        <v>24.7</v>
      </c>
      <c r="E103" s="153">
        <f t="shared" si="0"/>
        <v>25.200000000000003</v>
      </c>
      <c r="F103" s="153">
        <f t="shared" si="0"/>
        <v>25.300000000000004</v>
      </c>
      <c r="G103" s="153">
        <f t="shared" si="0"/>
        <v>25.300000000000004</v>
      </c>
      <c r="H103" s="190">
        <v>25.3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5.75">
      <c r="A104" s="89" t="s">
        <v>370</v>
      </c>
      <c r="B104" s="65" t="s">
        <v>98</v>
      </c>
      <c r="C104" s="177">
        <v>47.5</v>
      </c>
      <c r="D104" s="153">
        <v>70.3</v>
      </c>
      <c r="E104" s="153">
        <v>72.7</v>
      </c>
      <c r="F104" s="153">
        <v>72.7</v>
      </c>
      <c r="G104" s="153">
        <v>74.7</v>
      </c>
      <c r="H104" s="190">
        <v>74.7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5.75">
      <c r="A105" s="90" t="s">
        <v>122</v>
      </c>
      <c r="B105" s="65"/>
      <c r="C105" s="177"/>
      <c r="D105" s="151"/>
      <c r="E105" s="151"/>
      <c r="F105" s="151"/>
      <c r="G105" s="151"/>
      <c r="H105" s="17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5.75">
      <c r="A106" s="94" t="s">
        <v>368</v>
      </c>
      <c r="B106" s="65"/>
      <c r="C106" s="177"/>
      <c r="D106" s="151"/>
      <c r="E106" s="151"/>
      <c r="F106" s="151"/>
      <c r="G106" s="151"/>
      <c r="H106" s="17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5.75">
      <c r="A107" s="91" t="s">
        <v>92</v>
      </c>
      <c r="B107" s="65" t="s">
        <v>93</v>
      </c>
      <c r="C107" s="191">
        <v>51.8</v>
      </c>
      <c r="D107" s="158">
        <v>39.9</v>
      </c>
      <c r="E107" s="158">
        <v>33.5</v>
      </c>
      <c r="F107" s="155">
        <v>33.5</v>
      </c>
      <c r="G107" s="155">
        <v>33.4</v>
      </c>
      <c r="H107" s="182">
        <v>33.8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5.75">
      <c r="A108" s="90" t="s">
        <v>374</v>
      </c>
      <c r="B108" s="66"/>
      <c r="C108" s="191"/>
      <c r="D108" s="158"/>
      <c r="E108" s="158"/>
      <c r="F108" s="155"/>
      <c r="G108" s="155"/>
      <c r="H108" s="18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5.75">
      <c r="A109" s="91" t="s">
        <v>375</v>
      </c>
      <c r="B109" s="65" t="s">
        <v>93</v>
      </c>
      <c r="C109" s="191">
        <v>0.06</v>
      </c>
      <c r="D109" s="158">
        <v>0.1</v>
      </c>
      <c r="E109" s="158">
        <v>0.1</v>
      </c>
      <c r="F109" s="155">
        <v>0.1</v>
      </c>
      <c r="G109" s="155">
        <v>0.1</v>
      </c>
      <c r="H109" s="182">
        <v>0.1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5.75">
      <c r="A110" s="91" t="s">
        <v>94</v>
      </c>
      <c r="B110" s="65" t="s">
        <v>93</v>
      </c>
      <c r="C110" s="191">
        <v>15.3</v>
      </c>
      <c r="D110" s="158">
        <v>13.8</v>
      </c>
      <c r="E110" s="158">
        <v>13.2</v>
      </c>
      <c r="F110" s="155">
        <v>13.3</v>
      </c>
      <c r="G110" s="155">
        <v>13.3</v>
      </c>
      <c r="H110" s="182">
        <v>13.3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5.75">
      <c r="A111" s="91" t="s">
        <v>95</v>
      </c>
      <c r="B111" s="65" t="s">
        <v>93</v>
      </c>
      <c r="C111" s="191">
        <v>20.8</v>
      </c>
      <c r="D111" s="158">
        <v>16.8</v>
      </c>
      <c r="E111" s="159">
        <v>19</v>
      </c>
      <c r="F111" s="155">
        <v>19.4</v>
      </c>
      <c r="G111" s="155">
        <v>19.4</v>
      </c>
      <c r="H111" s="182">
        <v>19.4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5.75">
      <c r="A112" s="91" t="s">
        <v>96</v>
      </c>
      <c r="B112" s="65" t="s">
        <v>93</v>
      </c>
      <c r="C112" s="191">
        <v>11.7</v>
      </c>
      <c r="D112" s="158">
        <v>12.7</v>
      </c>
      <c r="E112" s="158">
        <v>13.3</v>
      </c>
      <c r="F112" s="155">
        <v>13.4</v>
      </c>
      <c r="G112" s="155">
        <v>13.4</v>
      </c>
      <c r="H112" s="182">
        <v>13.4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5.75">
      <c r="A113" s="91" t="s">
        <v>97</v>
      </c>
      <c r="B113" s="65" t="s">
        <v>93</v>
      </c>
      <c r="C113" s="191">
        <v>15.7</v>
      </c>
      <c r="D113" s="158">
        <v>15.5</v>
      </c>
      <c r="E113" s="158">
        <v>15.8</v>
      </c>
      <c r="F113" s="155">
        <v>15.8</v>
      </c>
      <c r="G113" s="155">
        <v>15.8</v>
      </c>
      <c r="H113" s="182">
        <v>15.8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5.75">
      <c r="A114" s="91" t="s">
        <v>370</v>
      </c>
      <c r="B114" s="65" t="s">
        <v>98</v>
      </c>
      <c r="C114" s="177">
        <v>44.9</v>
      </c>
      <c r="D114" s="151">
        <v>67.6</v>
      </c>
      <c r="E114" s="153">
        <v>65.3</v>
      </c>
      <c r="F114" s="153">
        <v>66.3</v>
      </c>
      <c r="G114" s="153">
        <v>69.9</v>
      </c>
      <c r="H114" s="178">
        <v>70.4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5.75">
      <c r="A115" s="94" t="s">
        <v>99</v>
      </c>
      <c r="B115" s="65"/>
      <c r="C115" s="177"/>
      <c r="D115" s="151"/>
      <c r="E115" s="151"/>
      <c r="F115" s="151"/>
      <c r="G115" s="151"/>
      <c r="H115" s="178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5.75">
      <c r="A116" s="91" t="s">
        <v>92</v>
      </c>
      <c r="B116" s="65" t="s">
        <v>93</v>
      </c>
      <c r="C116" s="177"/>
      <c r="D116" s="151"/>
      <c r="E116" s="151"/>
      <c r="F116" s="151"/>
      <c r="G116" s="151"/>
      <c r="H116" s="178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5.75">
      <c r="A117" s="90" t="s">
        <v>374</v>
      </c>
      <c r="B117" s="65"/>
      <c r="C117" s="177"/>
      <c r="D117" s="151"/>
      <c r="E117" s="151"/>
      <c r="F117" s="151"/>
      <c r="G117" s="151"/>
      <c r="H117" s="178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5.75">
      <c r="A118" s="91" t="s">
        <v>375</v>
      </c>
      <c r="B118" s="65" t="s">
        <v>93</v>
      </c>
      <c r="C118" s="177"/>
      <c r="D118" s="151"/>
      <c r="E118" s="151"/>
      <c r="F118" s="151"/>
      <c r="G118" s="151"/>
      <c r="H118" s="178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5.75">
      <c r="A119" s="91" t="s">
        <v>94</v>
      </c>
      <c r="B119" s="65" t="s">
        <v>93</v>
      </c>
      <c r="C119" s="191">
        <v>53.4</v>
      </c>
      <c r="D119" s="158">
        <v>53.5</v>
      </c>
      <c r="E119" s="158">
        <v>53.5</v>
      </c>
      <c r="F119" s="155">
        <v>53.5</v>
      </c>
      <c r="G119" s="155">
        <v>53.5</v>
      </c>
      <c r="H119" s="182">
        <v>53.5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5.75">
      <c r="A120" s="91" t="s">
        <v>95</v>
      </c>
      <c r="B120" s="65" t="s">
        <v>93</v>
      </c>
      <c r="C120" s="191">
        <v>11.9</v>
      </c>
      <c r="D120" s="159">
        <v>12</v>
      </c>
      <c r="E120" s="159">
        <v>12</v>
      </c>
      <c r="F120" s="157">
        <v>12</v>
      </c>
      <c r="G120" s="157">
        <v>12</v>
      </c>
      <c r="H120" s="182">
        <v>12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5.75">
      <c r="A121" s="91" t="s">
        <v>96</v>
      </c>
      <c r="B121" s="65" t="s">
        <v>93</v>
      </c>
      <c r="C121" s="191">
        <v>1.2</v>
      </c>
      <c r="D121" s="159">
        <v>1.1</v>
      </c>
      <c r="E121" s="158">
        <v>1.3</v>
      </c>
      <c r="F121" s="155">
        <v>1.4</v>
      </c>
      <c r="G121" s="155">
        <v>1.4</v>
      </c>
      <c r="H121" s="182">
        <v>1.4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5.75">
      <c r="A122" s="91" t="s">
        <v>97</v>
      </c>
      <c r="B122" s="65" t="s">
        <v>93</v>
      </c>
      <c r="C122" s="191">
        <v>8</v>
      </c>
      <c r="D122" s="158">
        <v>7.8</v>
      </c>
      <c r="E122" s="158">
        <v>8.4</v>
      </c>
      <c r="F122" s="155">
        <v>8.4</v>
      </c>
      <c r="G122" s="155">
        <v>8.4</v>
      </c>
      <c r="H122" s="182">
        <v>8.4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5.75">
      <c r="A123" s="91" t="s">
        <v>370</v>
      </c>
      <c r="B123" s="65" t="s">
        <v>98</v>
      </c>
      <c r="C123" s="191">
        <v>2.6</v>
      </c>
      <c r="D123" s="158">
        <v>2.7</v>
      </c>
      <c r="E123" s="158">
        <v>2.5</v>
      </c>
      <c r="F123" s="155">
        <v>2.6</v>
      </c>
      <c r="G123" s="155">
        <v>2.6</v>
      </c>
      <c r="H123" s="182">
        <v>2.6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5.75">
      <c r="A124" s="94" t="s">
        <v>369</v>
      </c>
      <c r="B124" s="65"/>
      <c r="C124" s="177"/>
      <c r="D124" s="151"/>
      <c r="E124" s="151"/>
      <c r="F124" s="151"/>
      <c r="G124" s="151"/>
      <c r="H124" s="178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5.75">
      <c r="A125" s="91" t="s">
        <v>92</v>
      </c>
      <c r="B125" s="65" t="s">
        <v>93</v>
      </c>
      <c r="C125" s="191">
        <v>28.6</v>
      </c>
      <c r="D125" s="158">
        <v>23.2</v>
      </c>
      <c r="E125" s="158">
        <v>15.5</v>
      </c>
      <c r="F125" s="155">
        <v>15.5</v>
      </c>
      <c r="G125" s="155">
        <v>15</v>
      </c>
      <c r="H125" s="182">
        <v>15.2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5.75">
      <c r="A126" s="90" t="s">
        <v>374</v>
      </c>
      <c r="B126" s="65"/>
      <c r="C126" s="191"/>
      <c r="D126" s="158"/>
      <c r="E126" s="158"/>
      <c r="F126" s="155"/>
      <c r="G126" s="155"/>
      <c r="H126" s="182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5.75">
      <c r="A127" s="91" t="s">
        <v>375</v>
      </c>
      <c r="B127" s="65" t="s">
        <v>93</v>
      </c>
      <c r="C127" s="191"/>
      <c r="D127" s="158"/>
      <c r="E127" s="158"/>
      <c r="F127" s="155"/>
      <c r="G127" s="155"/>
      <c r="H127" s="182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5.75">
      <c r="A128" s="91" t="s">
        <v>94</v>
      </c>
      <c r="B128" s="65" t="s">
        <v>93</v>
      </c>
      <c r="C128" s="191">
        <v>0.2</v>
      </c>
      <c r="D128" s="158">
        <v>0.3</v>
      </c>
      <c r="E128" s="158">
        <v>0.3</v>
      </c>
      <c r="F128" s="155">
        <v>0.3</v>
      </c>
      <c r="G128" s="155">
        <v>0.3</v>
      </c>
      <c r="H128" s="182">
        <v>0.3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5.75">
      <c r="A129" s="91" t="s">
        <v>95</v>
      </c>
      <c r="B129" s="65" t="s">
        <v>93</v>
      </c>
      <c r="C129" s="191">
        <v>0.5</v>
      </c>
      <c r="D129" s="158">
        <v>0.4</v>
      </c>
      <c r="E129" s="158"/>
      <c r="F129" s="155">
        <v>0.1</v>
      </c>
      <c r="G129" s="155">
        <v>0.1</v>
      </c>
      <c r="H129" s="182">
        <v>0.1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5.75">
      <c r="A130" s="91" t="s">
        <v>96</v>
      </c>
      <c r="B130" s="65" t="s">
        <v>93</v>
      </c>
      <c r="C130" s="191">
        <v>0.2</v>
      </c>
      <c r="D130" s="158">
        <v>0.2</v>
      </c>
      <c r="E130" s="158">
        <v>0.1</v>
      </c>
      <c r="F130" s="155">
        <v>0.2</v>
      </c>
      <c r="G130" s="155">
        <v>0.2</v>
      </c>
      <c r="H130" s="182">
        <v>0.2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5.75">
      <c r="A131" s="91" t="s">
        <v>97</v>
      </c>
      <c r="B131" s="65" t="s">
        <v>93</v>
      </c>
      <c r="C131" s="191">
        <v>1.9</v>
      </c>
      <c r="D131" s="158">
        <v>1.5</v>
      </c>
      <c r="E131" s="159">
        <v>1</v>
      </c>
      <c r="F131" s="155">
        <v>1.1</v>
      </c>
      <c r="G131" s="155">
        <v>1.1</v>
      </c>
      <c r="H131" s="182">
        <v>1.1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5.75">
      <c r="A132" s="91" t="s">
        <v>370</v>
      </c>
      <c r="B132" s="65" t="s">
        <v>98</v>
      </c>
      <c r="C132" s="191"/>
      <c r="D132" s="160">
        <v>0.009</v>
      </c>
      <c r="E132" s="158">
        <v>0.03</v>
      </c>
      <c r="F132" s="155">
        <v>0.03</v>
      </c>
      <c r="G132" s="155">
        <v>0.03</v>
      </c>
      <c r="H132" s="182">
        <v>0.03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5.75">
      <c r="A133" s="89"/>
      <c r="B133" s="65"/>
      <c r="C133" s="191"/>
      <c r="D133" s="158"/>
      <c r="E133" s="158"/>
      <c r="F133" s="155"/>
      <c r="G133" s="155"/>
      <c r="H133" s="182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5.75">
      <c r="A134" s="93" t="s">
        <v>105</v>
      </c>
      <c r="B134" s="65"/>
      <c r="C134" s="177"/>
      <c r="D134" s="151"/>
      <c r="E134" s="151"/>
      <c r="F134" s="151"/>
      <c r="G134" s="151"/>
      <c r="H134" s="178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28.5">
      <c r="A135" s="89" t="s">
        <v>106</v>
      </c>
      <c r="B135" s="65" t="s">
        <v>22</v>
      </c>
      <c r="C135" s="177">
        <v>2335</v>
      </c>
      <c r="D135" s="151">
        <v>3544.9</v>
      </c>
      <c r="E135" s="151">
        <v>5577</v>
      </c>
      <c r="F135" s="151">
        <v>6501.2</v>
      </c>
      <c r="G135" s="151">
        <v>7165.4</v>
      </c>
      <c r="H135" s="178">
        <v>7819.8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9.5">
      <c r="A136" s="89"/>
      <c r="B136" s="65" t="s">
        <v>107</v>
      </c>
      <c r="C136" s="177">
        <v>78</v>
      </c>
      <c r="D136" s="151">
        <v>109</v>
      </c>
      <c r="E136" s="151">
        <v>145.4</v>
      </c>
      <c r="F136" s="151">
        <v>108.7</v>
      </c>
      <c r="G136" s="151">
        <v>102.9</v>
      </c>
      <c r="H136" s="178">
        <v>102.2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28.5">
      <c r="A137" s="89" t="s">
        <v>108</v>
      </c>
      <c r="B137" s="65" t="s">
        <v>8</v>
      </c>
      <c r="C137" s="177">
        <v>102.2</v>
      </c>
      <c r="D137" s="151">
        <v>101.9</v>
      </c>
      <c r="E137" s="151">
        <v>108.2</v>
      </c>
      <c r="F137" s="151">
        <v>107.2</v>
      </c>
      <c r="G137" s="151">
        <v>107.1</v>
      </c>
      <c r="H137" s="178">
        <v>106.8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5.75">
      <c r="A138" s="93" t="s">
        <v>109</v>
      </c>
      <c r="B138" s="65"/>
      <c r="C138" s="177"/>
      <c r="D138" s="151"/>
      <c r="E138" s="151"/>
      <c r="F138" s="151"/>
      <c r="G138" s="151"/>
      <c r="H138" s="178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9.5">
      <c r="A139" s="89" t="s">
        <v>110</v>
      </c>
      <c r="B139" s="65" t="s">
        <v>111</v>
      </c>
      <c r="C139" s="177">
        <v>107.7</v>
      </c>
      <c r="D139" s="151">
        <v>107.9</v>
      </c>
      <c r="E139" s="151">
        <v>106.7</v>
      </c>
      <c r="F139" s="151">
        <v>105.3</v>
      </c>
      <c r="G139" s="151">
        <v>105</v>
      </c>
      <c r="H139" s="178">
        <v>104.5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5.75">
      <c r="A140" s="89" t="s">
        <v>112</v>
      </c>
      <c r="B140" s="65" t="s">
        <v>8</v>
      </c>
      <c r="C140" s="177">
        <v>110.5</v>
      </c>
      <c r="D140" s="151">
        <v>106.3</v>
      </c>
      <c r="E140" s="151">
        <v>108.1</v>
      </c>
      <c r="F140" s="153">
        <v>105.7</v>
      </c>
      <c r="G140" s="151">
        <v>105.2</v>
      </c>
      <c r="H140" s="178">
        <v>104.7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9.5">
      <c r="A141" s="89" t="s">
        <v>113</v>
      </c>
      <c r="B141" s="65" t="s">
        <v>22</v>
      </c>
      <c r="C141" s="177">
        <v>1824.3</v>
      </c>
      <c r="D141" s="153">
        <v>1977.6</v>
      </c>
      <c r="E141" s="153">
        <v>2169.3</v>
      </c>
      <c r="F141" s="153">
        <v>2375.7</v>
      </c>
      <c r="G141" s="153">
        <v>2619.2</v>
      </c>
      <c r="H141" s="185">
        <v>2901.3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28.5">
      <c r="A142" s="89" t="s">
        <v>114</v>
      </c>
      <c r="B142" s="65" t="s">
        <v>8</v>
      </c>
      <c r="C142" s="177">
        <v>83</v>
      </c>
      <c r="D142" s="151">
        <v>102.4</v>
      </c>
      <c r="E142" s="151">
        <v>103</v>
      </c>
      <c r="F142" s="151">
        <v>104</v>
      </c>
      <c r="G142" s="151">
        <v>105</v>
      </c>
      <c r="H142" s="178">
        <v>106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5.75">
      <c r="A143" s="89" t="s">
        <v>115</v>
      </c>
      <c r="B143" s="65" t="s">
        <v>8</v>
      </c>
      <c r="C143" s="184">
        <v>109.7</v>
      </c>
      <c r="D143" s="151">
        <v>105.9</v>
      </c>
      <c r="E143" s="151">
        <v>106.5</v>
      </c>
      <c r="F143" s="151">
        <v>105.3</v>
      </c>
      <c r="G143" s="151">
        <v>105</v>
      </c>
      <c r="H143" s="178">
        <v>104.5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9.5">
      <c r="A144" s="89" t="s">
        <v>116</v>
      </c>
      <c r="B144" s="65" t="s">
        <v>22</v>
      </c>
      <c r="C144" s="177">
        <v>129</v>
      </c>
      <c r="D144" s="153">
        <v>138.6</v>
      </c>
      <c r="E144" s="153">
        <v>167.9</v>
      </c>
      <c r="F144" s="153">
        <v>205.7</v>
      </c>
      <c r="G144" s="153">
        <v>252.9</v>
      </c>
      <c r="H144" s="185">
        <v>311.5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28.5">
      <c r="A145" s="89" t="s">
        <v>117</v>
      </c>
      <c r="B145" s="65" t="s">
        <v>8</v>
      </c>
      <c r="C145" s="177">
        <v>57</v>
      </c>
      <c r="D145" s="151">
        <v>101.5</v>
      </c>
      <c r="E145" s="151">
        <v>110</v>
      </c>
      <c r="F145" s="151">
        <v>111.7</v>
      </c>
      <c r="G145" s="151">
        <v>112.6</v>
      </c>
      <c r="H145" s="178">
        <v>113.1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5.75">
      <c r="A146" s="89" t="s">
        <v>118</v>
      </c>
      <c r="B146" s="65" t="s">
        <v>8</v>
      </c>
      <c r="C146" s="184"/>
      <c r="D146" s="151"/>
      <c r="E146" s="151"/>
      <c r="F146" s="151"/>
      <c r="G146" s="151"/>
      <c r="H146" s="178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9.5">
      <c r="A147" s="89" t="s">
        <v>119</v>
      </c>
      <c r="B147" s="65" t="s">
        <v>22</v>
      </c>
      <c r="C147" s="177">
        <v>448.8</v>
      </c>
      <c r="D147" s="153">
        <v>455.9</v>
      </c>
      <c r="E147" s="153">
        <v>513.5</v>
      </c>
      <c r="F147" s="153">
        <v>579.6</v>
      </c>
      <c r="G147" s="153">
        <v>656.8</v>
      </c>
      <c r="H147" s="185">
        <v>747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9.5">
      <c r="A148" s="89"/>
      <c r="B148" s="65" t="s">
        <v>120</v>
      </c>
      <c r="C148" s="177">
        <v>100.2</v>
      </c>
      <c r="D148" s="151">
        <v>94</v>
      </c>
      <c r="E148" s="151">
        <v>104</v>
      </c>
      <c r="F148" s="151">
        <v>105</v>
      </c>
      <c r="G148" s="151">
        <v>106</v>
      </c>
      <c r="H148" s="178">
        <v>107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5.75">
      <c r="A149" s="89" t="s">
        <v>121</v>
      </c>
      <c r="B149" s="65" t="s">
        <v>8</v>
      </c>
      <c r="C149" s="184">
        <v>109.3</v>
      </c>
      <c r="D149" s="151">
        <v>108.1</v>
      </c>
      <c r="E149" s="151">
        <v>108.3</v>
      </c>
      <c r="F149" s="151">
        <v>107.5</v>
      </c>
      <c r="G149" s="151">
        <v>106.9</v>
      </c>
      <c r="H149" s="178">
        <v>106.3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5.75" hidden="1">
      <c r="A150" s="90" t="s">
        <v>122</v>
      </c>
      <c r="B150" s="65"/>
      <c r="C150" s="177"/>
      <c r="D150" s="151"/>
      <c r="E150" s="151"/>
      <c r="F150" s="151"/>
      <c r="G150" s="151"/>
      <c r="H150" s="178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9.5" hidden="1">
      <c r="A151" s="91" t="s">
        <v>123</v>
      </c>
      <c r="B151" s="65" t="s">
        <v>22</v>
      </c>
      <c r="C151" s="177"/>
      <c r="D151" s="154"/>
      <c r="E151" s="154"/>
      <c r="F151" s="154"/>
      <c r="G151" s="154"/>
      <c r="H151" s="180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9.5" hidden="1">
      <c r="A152" s="91"/>
      <c r="B152" s="65" t="s">
        <v>120</v>
      </c>
      <c r="C152" s="177"/>
      <c r="D152" s="151"/>
      <c r="E152" s="151"/>
      <c r="F152" s="151"/>
      <c r="G152" s="151"/>
      <c r="H152" s="178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9.5" hidden="1">
      <c r="A153" s="91" t="s">
        <v>124</v>
      </c>
      <c r="B153" s="65" t="s">
        <v>22</v>
      </c>
      <c r="C153" s="177"/>
      <c r="D153" s="154"/>
      <c r="E153" s="154"/>
      <c r="F153" s="154"/>
      <c r="G153" s="154"/>
      <c r="H153" s="180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9.5" hidden="1">
      <c r="A154" s="91"/>
      <c r="B154" s="65" t="s">
        <v>120</v>
      </c>
      <c r="C154" s="177"/>
      <c r="D154" s="151"/>
      <c r="E154" s="151"/>
      <c r="F154" s="151"/>
      <c r="G154" s="151"/>
      <c r="H154" s="178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9.5" hidden="1">
      <c r="A155" s="91" t="s">
        <v>125</v>
      </c>
      <c r="B155" s="65" t="s">
        <v>22</v>
      </c>
      <c r="C155" s="177"/>
      <c r="D155" s="154"/>
      <c r="E155" s="154"/>
      <c r="F155" s="154"/>
      <c r="G155" s="154"/>
      <c r="H155" s="180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9.5" hidden="1">
      <c r="A156" s="91"/>
      <c r="B156" s="65" t="s">
        <v>120</v>
      </c>
      <c r="C156" s="177"/>
      <c r="D156" s="151"/>
      <c r="E156" s="151"/>
      <c r="F156" s="151"/>
      <c r="G156" s="151"/>
      <c r="H156" s="178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9.5" hidden="1">
      <c r="A157" s="91" t="s">
        <v>126</v>
      </c>
      <c r="B157" s="65" t="s">
        <v>22</v>
      </c>
      <c r="C157" s="177"/>
      <c r="D157" s="154"/>
      <c r="E157" s="154"/>
      <c r="F157" s="154"/>
      <c r="G157" s="154"/>
      <c r="H157" s="180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9.5" hidden="1">
      <c r="A158" s="91"/>
      <c r="B158" s="65" t="s">
        <v>120</v>
      </c>
      <c r="C158" s="177"/>
      <c r="D158" s="151"/>
      <c r="E158" s="151"/>
      <c r="F158" s="151"/>
      <c r="G158" s="151"/>
      <c r="H158" s="178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9.5" hidden="1">
      <c r="A159" s="91" t="s">
        <v>127</v>
      </c>
      <c r="B159" s="65" t="s">
        <v>22</v>
      </c>
      <c r="C159" s="177"/>
      <c r="D159" s="154"/>
      <c r="E159" s="154"/>
      <c r="F159" s="154"/>
      <c r="G159" s="154"/>
      <c r="H159" s="180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9.5" hidden="1">
      <c r="A160" s="91"/>
      <c r="B160" s="65" t="s">
        <v>120</v>
      </c>
      <c r="C160" s="177"/>
      <c r="D160" s="151"/>
      <c r="E160" s="151"/>
      <c r="F160" s="151"/>
      <c r="G160" s="151"/>
      <c r="H160" s="178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9.5" hidden="1">
      <c r="A161" s="91" t="s">
        <v>128</v>
      </c>
      <c r="B161" s="65" t="s">
        <v>22</v>
      </c>
      <c r="C161" s="177"/>
      <c r="D161" s="154"/>
      <c r="E161" s="154"/>
      <c r="F161" s="154"/>
      <c r="G161" s="154"/>
      <c r="H161" s="180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9.5" hidden="1">
      <c r="A162" s="91"/>
      <c r="B162" s="65" t="s">
        <v>120</v>
      </c>
      <c r="C162" s="177"/>
      <c r="D162" s="151"/>
      <c r="E162" s="151"/>
      <c r="F162" s="151"/>
      <c r="G162" s="151"/>
      <c r="H162" s="178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9.5" hidden="1">
      <c r="A163" s="91" t="s">
        <v>129</v>
      </c>
      <c r="B163" s="65" t="s">
        <v>22</v>
      </c>
      <c r="C163" s="177"/>
      <c r="D163" s="151"/>
      <c r="E163" s="151"/>
      <c r="F163" s="151"/>
      <c r="G163" s="151"/>
      <c r="H163" s="178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9.5" hidden="1">
      <c r="A164" s="91"/>
      <c r="B164" s="65" t="s">
        <v>120</v>
      </c>
      <c r="C164" s="177"/>
      <c r="D164" s="151"/>
      <c r="E164" s="151"/>
      <c r="F164" s="151"/>
      <c r="G164" s="151"/>
      <c r="H164" s="178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9.5" hidden="1">
      <c r="A165" s="91" t="s">
        <v>130</v>
      </c>
      <c r="B165" s="65" t="s">
        <v>22</v>
      </c>
      <c r="C165" s="177"/>
      <c r="D165" s="151"/>
      <c r="E165" s="151"/>
      <c r="F165" s="151"/>
      <c r="G165" s="151"/>
      <c r="H165" s="178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9.5" hidden="1">
      <c r="A166" s="91"/>
      <c r="B166" s="65" t="s">
        <v>120</v>
      </c>
      <c r="C166" s="177"/>
      <c r="D166" s="151"/>
      <c r="E166" s="151"/>
      <c r="F166" s="151"/>
      <c r="G166" s="151"/>
      <c r="H166" s="178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9.5" hidden="1">
      <c r="A167" s="91" t="s">
        <v>131</v>
      </c>
      <c r="B167" s="65" t="s">
        <v>22</v>
      </c>
      <c r="C167" s="177"/>
      <c r="D167" s="154"/>
      <c r="E167" s="154"/>
      <c r="F167" s="154"/>
      <c r="G167" s="154"/>
      <c r="H167" s="180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9.5" hidden="1">
      <c r="A168" s="91"/>
      <c r="B168" s="65" t="s">
        <v>120</v>
      </c>
      <c r="C168" s="177"/>
      <c r="D168" s="151"/>
      <c r="E168" s="151"/>
      <c r="F168" s="151"/>
      <c r="G168" s="151"/>
      <c r="H168" s="178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9.5" hidden="1">
      <c r="A169" s="91" t="s">
        <v>132</v>
      </c>
      <c r="B169" s="65" t="s">
        <v>22</v>
      </c>
      <c r="C169" s="177"/>
      <c r="D169" s="151"/>
      <c r="E169" s="151"/>
      <c r="F169" s="151"/>
      <c r="G169" s="151"/>
      <c r="H169" s="178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9.5" hidden="1">
      <c r="A170" s="91"/>
      <c r="B170" s="65" t="s">
        <v>120</v>
      </c>
      <c r="C170" s="177"/>
      <c r="D170" s="151"/>
      <c r="E170" s="151"/>
      <c r="F170" s="151"/>
      <c r="G170" s="151"/>
      <c r="H170" s="178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9.5" hidden="1">
      <c r="A171" s="91" t="s">
        <v>133</v>
      </c>
      <c r="B171" s="65" t="s">
        <v>22</v>
      </c>
      <c r="C171" s="177"/>
      <c r="D171" s="154"/>
      <c r="E171" s="154"/>
      <c r="F171" s="154"/>
      <c r="G171" s="154"/>
      <c r="H171" s="180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9.5" hidden="1">
      <c r="A172" s="91"/>
      <c r="B172" s="65" t="s">
        <v>120</v>
      </c>
      <c r="C172" s="177"/>
      <c r="D172" s="151"/>
      <c r="E172" s="151"/>
      <c r="F172" s="151"/>
      <c r="G172" s="151"/>
      <c r="H172" s="178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9.5" hidden="1">
      <c r="A173" s="91" t="s">
        <v>134</v>
      </c>
      <c r="B173" s="65" t="s">
        <v>22</v>
      </c>
      <c r="C173" s="177"/>
      <c r="D173" s="151"/>
      <c r="E173" s="151"/>
      <c r="F173" s="151"/>
      <c r="G173" s="151"/>
      <c r="H173" s="178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9.5" hidden="1">
      <c r="A174" s="91"/>
      <c r="B174" s="65" t="s">
        <v>120</v>
      </c>
      <c r="C174" s="177"/>
      <c r="D174" s="151"/>
      <c r="E174" s="151"/>
      <c r="F174" s="151"/>
      <c r="G174" s="151"/>
      <c r="H174" s="178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9.5" hidden="1">
      <c r="A175" s="91" t="s">
        <v>135</v>
      </c>
      <c r="B175" s="65" t="s">
        <v>22</v>
      </c>
      <c r="C175" s="177"/>
      <c r="D175" s="154"/>
      <c r="E175" s="154"/>
      <c r="F175" s="154"/>
      <c r="G175" s="154"/>
      <c r="H175" s="180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9.5" hidden="1">
      <c r="A176" s="91"/>
      <c r="B176" s="65" t="s">
        <v>120</v>
      </c>
      <c r="C176" s="177"/>
      <c r="D176" s="151"/>
      <c r="E176" s="151"/>
      <c r="F176" s="151"/>
      <c r="G176" s="151"/>
      <c r="H176" s="178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9.5" hidden="1">
      <c r="A177" s="91" t="s">
        <v>136</v>
      </c>
      <c r="B177" s="65" t="s">
        <v>22</v>
      </c>
      <c r="C177" s="177"/>
      <c r="D177" s="151"/>
      <c r="E177" s="151"/>
      <c r="F177" s="151"/>
      <c r="G177" s="151"/>
      <c r="H177" s="178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5.75">
      <c r="A178" s="93" t="s">
        <v>137</v>
      </c>
      <c r="B178" s="65"/>
      <c r="C178" s="177"/>
      <c r="D178" s="151"/>
      <c r="E178" s="151"/>
      <c r="F178" s="151"/>
      <c r="G178" s="151"/>
      <c r="H178" s="178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28.5">
      <c r="A179" s="119" t="s">
        <v>389</v>
      </c>
      <c r="B179" s="120" t="s">
        <v>139</v>
      </c>
      <c r="C179" s="177">
        <v>198</v>
      </c>
      <c r="D179" s="151">
        <v>205</v>
      </c>
      <c r="E179" s="151">
        <v>215</v>
      </c>
      <c r="F179" s="151">
        <v>225</v>
      </c>
      <c r="G179" s="151">
        <v>235</v>
      </c>
      <c r="H179" s="178">
        <v>246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9.5" customHeight="1">
      <c r="A180" s="90" t="s">
        <v>138</v>
      </c>
      <c r="B180" s="65"/>
      <c r="C180" s="177"/>
      <c r="D180" s="151"/>
      <c r="E180" s="151"/>
      <c r="F180" s="151"/>
      <c r="G180" s="151"/>
      <c r="H180" s="178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5.75">
      <c r="A181" s="91" t="s">
        <v>76</v>
      </c>
      <c r="B181" s="65" t="s">
        <v>139</v>
      </c>
      <c r="C181" s="177">
        <v>3</v>
      </c>
      <c r="D181" s="151">
        <v>3</v>
      </c>
      <c r="E181" s="151">
        <v>3</v>
      </c>
      <c r="F181" s="151">
        <v>3</v>
      </c>
      <c r="G181" s="151">
        <v>3</v>
      </c>
      <c r="H181" s="178">
        <v>3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5.75">
      <c r="A182" s="91" t="s">
        <v>140</v>
      </c>
      <c r="B182" s="65" t="s">
        <v>139</v>
      </c>
      <c r="C182" s="177">
        <v>24</v>
      </c>
      <c r="D182" s="151">
        <v>25</v>
      </c>
      <c r="E182" s="151">
        <v>26</v>
      </c>
      <c r="F182" s="151">
        <v>26</v>
      </c>
      <c r="G182" s="151">
        <v>27</v>
      </c>
      <c r="H182" s="178">
        <v>27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28.5">
      <c r="A183" s="91" t="s">
        <v>141</v>
      </c>
      <c r="B183" s="65" t="s">
        <v>139</v>
      </c>
      <c r="C183" s="177">
        <v>9</v>
      </c>
      <c r="D183" s="151">
        <v>10</v>
      </c>
      <c r="E183" s="151">
        <v>11</v>
      </c>
      <c r="F183" s="151">
        <v>11</v>
      </c>
      <c r="G183" s="151">
        <v>12</v>
      </c>
      <c r="H183" s="178">
        <v>12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5.75">
      <c r="A184" s="91" t="s">
        <v>142</v>
      </c>
      <c r="B184" s="65" t="s">
        <v>139</v>
      </c>
      <c r="C184" s="177">
        <v>20</v>
      </c>
      <c r="D184" s="151">
        <v>20</v>
      </c>
      <c r="E184" s="151">
        <v>21</v>
      </c>
      <c r="F184" s="151">
        <v>21</v>
      </c>
      <c r="G184" s="151">
        <v>21</v>
      </c>
      <c r="H184" s="178">
        <v>22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42.75">
      <c r="A185" s="91" t="s">
        <v>390</v>
      </c>
      <c r="B185" s="65" t="s">
        <v>139</v>
      </c>
      <c r="C185" s="177">
        <v>71</v>
      </c>
      <c r="D185" s="151">
        <v>74</v>
      </c>
      <c r="E185" s="151">
        <v>76</v>
      </c>
      <c r="F185" s="151">
        <v>78</v>
      </c>
      <c r="G185" s="151">
        <v>78</v>
      </c>
      <c r="H185" s="178">
        <v>80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42.75">
      <c r="A186" s="119" t="s">
        <v>393</v>
      </c>
      <c r="B186" s="65" t="s">
        <v>282</v>
      </c>
      <c r="C186" s="177">
        <v>2203</v>
      </c>
      <c r="D186" s="151">
        <v>2259</v>
      </c>
      <c r="E186" s="151">
        <v>2400</v>
      </c>
      <c r="F186" s="151">
        <v>2456</v>
      </c>
      <c r="G186" s="151">
        <v>2512</v>
      </c>
      <c r="H186" s="178">
        <v>2562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20.25" customHeight="1">
      <c r="A187" s="119" t="s">
        <v>394</v>
      </c>
      <c r="B187" s="65" t="s">
        <v>391</v>
      </c>
      <c r="C187" s="177">
        <v>2874</v>
      </c>
      <c r="D187" s="151">
        <v>3076</v>
      </c>
      <c r="E187" s="151">
        <v>3302</v>
      </c>
      <c r="F187" s="151">
        <v>3452</v>
      </c>
      <c r="G187" s="151">
        <v>3654</v>
      </c>
      <c r="H187" s="178">
        <v>3856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57">
      <c r="A188" s="119" t="s">
        <v>395</v>
      </c>
      <c r="B188" s="65" t="s">
        <v>392</v>
      </c>
      <c r="C188" s="192">
        <v>1230</v>
      </c>
      <c r="D188" s="152">
        <v>1330</v>
      </c>
      <c r="E188" s="152">
        <v>1430</v>
      </c>
      <c r="F188" s="152">
        <v>1530</v>
      </c>
      <c r="G188" s="152">
        <v>1530</v>
      </c>
      <c r="H188" s="179" t="s">
        <v>400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5.75">
      <c r="A189" s="89"/>
      <c r="B189" s="65"/>
      <c r="C189" s="192"/>
      <c r="D189" s="152"/>
      <c r="E189" s="152"/>
      <c r="F189" s="152"/>
      <c r="G189" s="152"/>
      <c r="H189" s="179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5.75">
      <c r="A190" s="93" t="s">
        <v>144</v>
      </c>
      <c r="B190" s="65"/>
      <c r="C190" s="177"/>
      <c r="D190" s="151"/>
      <c r="E190" s="151"/>
      <c r="F190" s="151"/>
      <c r="G190" s="151"/>
      <c r="H190" s="178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30">
      <c r="A191" s="93" t="s">
        <v>145</v>
      </c>
      <c r="B191" s="65" t="s">
        <v>22</v>
      </c>
      <c r="C191" s="193">
        <v>6691.8</v>
      </c>
      <c r="D191" s="161">
        <v>8189.1</v>
      </c>
      <c r="E191" s="161">
        <v>9056.6</v>
      </c>
      <c r="F191" s="161">
        <v>10060.3</v>
      </c>
      <c r="G191" s="161">
        <v>11319.1</v>
      </c>
      <c r="H191" s="194">
        <v>12724.5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29.25">
      <c r="A192" s="89"/>
      <c r="B192" s="65" t="s">
        <v>146</v>
      </c>
      <c r="C192" s="195">
        <v>79</v>
      </c>
      <c r="D192" s="150">
        <f>D191/C191/D193*100*100</f>
        <v>118</v>
      </c>
      <c r="E192" s="150">
        <v>102.2</v>
      </c>
      <c r="F192" s="150">
        <v>103</v>
      </c>
      <c r="G192" s="150">
        <v>104.5</v>
      </c>
      <c r="H192" s="196">
        <v>104.8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9.5">
      <c r="A193" s="89"/>
      <c r="B193" s="65" t="s">
        <v>147</v>
      </c>
      <c r="C193" s="195">
        <v>100.5</v>
      </c>
      <c r="D193" s="150">
        <f>D191/C191*100/1.18</f>
        <v>103.70775059382062</v>
      </c>
      <c r="E193" s="150">
        <f>E196</f>
        <v>108.2</v>
      </c>
      <c r="F193" s="150">
        <f>F196</f>
        <v>107.8</v>
      </c>
      <c r="G193" s="150">
        <f>G196</f>
        <v>107.7</v>
      </c>
      <c r="H193" s="196">
        <f>H196</f>
        <v>107.3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57">
      <c r="A194" s="89" t="s">
        <v>148</v>
      </c>
      <c r="B194" s="65" t="s">
        <v>22</v>
      </c>
      <c r="C194" s="195">
        <f>C198+C200+C202+C206+C208+C210+C212+C214+C216+C218+C220+C222+C224+C226+C228+C230+C232+C234+C236+C238+C240+C242+C244+C246+C248+C250+C252+C254+C256+C258+C260</f>
        <v>5686.155</v>
      </c>
      <c r="D194" s="150">
        <f>D198+D200+D202+D206+D208+D210+D212+D214+D216+D218+D220+D222+D224+D226+D228+D230+D232+D234+D236+D238+D240+D242+D244+D246+D248+D250+D252+D254+D256+D258+D260-6.4</f>
        <v>6975.799</v>
      </c>
      <c r="E194" s="150">
        <f>E198+E200+E202+E206+E208+E210+E212+E214+E216+E218+E220+E222+E224+E226+E228+E230+E232+E234+E236+E238+E240+E242+E244+E246+E248+E250+E252+E254+E256+E258+E260</f>
        <v>7714.729076000001</v>
      </c>
      <c r="F194" s="150">
        <f>F198+F200+F202+F206+F208+F210+F212+F214+F216+F218+F220+F222+F224+F226+F228+F230+F232+F234+F236+F238+F240+F242+F244+F246+F248+F250+F252+F254+F256+F258+F260</f>
        <v>8422.485598591997</v>
      </c>
      <c r="G194" s="150">
        <f>G198+G200+G202+G206+G208+G210+G212+G214+G216+G218+G220+G222+G224+G226+G228+G230+G232+G234+G236+G238+G240+G242+G244+G246+G248+G250+G252+G254+G256+G258+G260</f>
        <v>9160.00645654976</v>
      </c>
      <c r="H194" s="196">
        <f>H198+H200+H202+H206+H208+H210+H212+H214+H216+H218+H220+H222+H224+H226+H228+H230+H232+H234+H236+H238+H240+H242+H244+H246+H248+H250+H252+H254+H256+H258+H260</f>
        <v>10223.866851115261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29.25">
      <c r="A195" s="89"/>
      <c r="B195" s="65" t="s">
        <v>146</v>
      </c>
      <c r="C195" s="195">
        <v>85</v>
      </c>
      <c r="D195" s="162">
        <f>D194/C194/D196*100*100</f>
        <v>118.29436294236702</v>
      </c>
      <c r="E195" s="150">
        <v>102.2</v>
      </c>
      <c r="F195" s="150">
        <v>101.3</v>
      </c>
      <c r="G195" s="150">
        <v>101</v>
      </c>
      <c r="H195" s="196">
        <v>104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9.5">
      <c r="A196" s="89"/>
      <c r="B196" s="65" t="s">
        <v>147</v>
      </c>
      <c r="C196" s="195">
        <v>107.6</v>
      </c>
      <c r="D196" s="150">
        <f>D193</f>
        <v>103.70775059382062</v>
      </c>
      <c r="E196" s="150">
        <v>108.2</v>
      </c>
      <c r="F196" s="150">
        <v>107.8</v>
      </c>
      <c r="G196" s="150">
        <v>107.7</v>
      </c>
      <c r="H196" s="196">
        <v>107.3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42.75">
      <c r="A197" s="90" t="s">
        <v>149</v>
      </c>
      <c r="B197" s="65"/>
      <c r="C197" s="195"/>
      <c r="D197" s="150"/>
      <c r="E197" s="150"/>
      <c r="F197" s="150"/>
      <c r="G197" s="150"/>
      <c r="H197" s="19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9.5">
      <c r="A198" s="91" t="s">
        <v>150</v>
      </c>
      <c r="B198" s="65" t="s">
        <v>22</v>
      </c>
      <c r="C198" s="195">
        <v>127</v>
      </c>
      <c r="D198" s="150">
        <v>168.601</v>
      </c>
      <c r="E198" s="150">
        <f>0.05+109.6+8.9+77-5.9+11.5+34.3</f>
        <v>235.45</v>
      </c>
      <c r="F198" s="150">
        <f>0.05+109.6+8.9+77+20+50</f>
        <v>265.55</v>
      </c>
      <c r="G198" s="150">
        <f>0.05+109.6+8.9+77+20+20+70</f>
        <v>305.55</v>
      </c>
      <c r="H198" s="196">
        <f>0.05+109.6+8.9+77+20+20+20+90</f>
        <v>345.55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29.25">
      <c r="A199" s="91"/>
      <c r="B199" s="65" t="s">
        <v>146</v>
      </c>
      <c r="C199" s="195">
        <v>34</v>
      </c>
      <c r="D199" s="150">
        <f>D198/C198*100/$D$196*100</f>
        <v>128.0103870281958</v>
      </c>
      <c r="E199" s="150">
        <v>129.1</v>
      </c>
      <c r="F199" s="150">
        <v>104.6</v>
      </c>
      <c r="G199" s="150">
        <v>106.8</v>
      </c>
      <c r="H199" s="196">
        <v>105.4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9.5">
      <c r="A200" s="91" t="s">
        <v>151</v>
      </c>
      <c r="B200" s="65" t="s">
        <v>22</v>
      </c>
      <c r="C200" s="195"/>
      <c r="D200" s="150"/>
      <c r="E200" s="150"/>
      <c r="F200" s="150"/>
      <c r="G200" s="150"/>
      <c r="H200" s="19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29.25">
      <c r="A201" s="91"/>
      <c r="B201" s="65" t="s">
        <v>146</v>
      </c>
      <c r="C201" s="195"/>
      <c r="D201" s="150"/>
      <c r="E201" s="150"/>
      <c r="F201" s="150"/>
      <c r="G201" s="150"/>
      <c r="H201" s="19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9.5">
      <c r="A202" s="91" t="s">
        <v>76</v>
      </c>
      <c r="B202" s="65" t="s">
        <v>22</v>
      </c>
      <c r="C202" s="195">
        <v>4255.1</v>
      </c>
      <c r="D202" s="150">
        <v>4703.202</v>
      </c>
      <c r="E202" s="150">
        <f>E204+E206</f>
        <v>5103.468000000001</v>
      </c>
      <c r="F202" s="150">
        <f>F204+F206</f>
        <v>5457.232999999998</v>
      </c>
      <c r="G202" s="150">
        <f>G204+G206</f>
        <v>5766.8949999999995</v>
      </c>
      <c r="H202" s="196">
        <f>H204+H206</f>
        <v>6478.560000000002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29.25">
      <c r="A203" s="91"/>
      <c r="B203" s="65" t="s">
        <v>146</v>
      </c>
      <c r="C203" s="195">
        <v>90</v>
      </c>
      <c r="D203" s="150">
        <f>D202/C202*100/$D$196*100</f>
        <v>106.57924669129034</v>
      </c>
      <c r="E203" s="150">
        <v>100.3</v>
      </c>
      <c r="F203" s="150">
        <v>99.2</v>
      </c>
      <c r="G203" s="150">
        <v>98.1</v>
      </c>
      <c r="H203" s="196">
        <v>104.7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28.5">
      <c r="A204" s="91" t="s">
        <v>152</v>
      </c>
      <c r="B204" s="65" t="s">
        <v>22</v>
      </c>
      <c r="C204" s="195">
        <f>4255.1-10.661-1.582-5.912</f>
        <v>4236.945</v>
      </c>
      <c r="D204" s="150">
        <f>4703.202-2.5-7.332</f>
        <v>4693.37</v>
      </c>
      <c r="E204" s="150">
        <f>57.7+174.541+720.198+175+573.485+376.578+140.598+1635.535+100+87.7+420.6+375+254</f>
        <v>5090.935</v>
      </c>
      <c r="F204" s="150">
        <f>100+391.058+496.544+290+518+71.23+351.689+6767.437+600-3000+1000-(12404.3-10060.3)+200</f>
        <v>5441.957999999999</v>
      </c>
      <c r="G204" s="150">
        <f>646.203+74.78+335+378+64.36+768.161+1237.116+1500+1600+1200+1200-(14572.5-11319.1)</f>
        <v>5750.219999999999</v>
      </c>
      <c r="H204" s="196">
        <f>381.259+47.8+350+1214+472+769.251+479.275+1500+2100+1800+1500-(16877.6-12724.5)</f>
        <v>6460.485000000002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29.25">
      <c r="A205" s="91"/>
      <c r="B205" s="65" t="s">
        <v>146</v>
      </c>
      <c r="C205" s="195">
        <v>91</v>
      </c>
      <c r="D205" s="150">
        <f>D204/C204*100/$D$196*100</f>
        <v>106.81217336502642</v>
      </c>
      <c r="E205" s="150">
        <v>100.3</v>
      </c>
      <c r="F205" s="150">
        <v>99.2</v>
      </c>
      <c r="G205" s="150">
        <v>98.1</v>
      </c>
      <c r="H205" s="196">
        <v>104.7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28.5">
      <c r="A206" s="91" t="s">
        <v>153</v>
      </c>
      <c r="B206" s="65" t="s">
        <v>22</v>
      </c>
      <c r="C206" s="195">
        <f>10.661+1.582+5.912</f>
        <v>18.155</v>
      </c>
      <c r="D206" s="150">
        <f>2.5+7.332</f>
        <v>9.832</v>
      </c>
      <c r="E206" s="150">
        <f>7+1.5+4.033</f>
        <v>12.533000000000001</v>
      </c>
      <c r="F206" s="150">
        <f>7+1.875+4.8+1.6</f>
        <v>15.275</v>
      </c>
      <c r="G206" s="150">
        <f>3.2+1.875+9.8+1.8</f>
        <v>16.675</v>
      </c>
      <c r="H206" s="196">
        <f>2.5+1.875+10.1+1.5+2.1</f>
        <v>18.075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29.25">
      <c r="A207" s="91"/>
      <c r="B207" s="65" t="s">
        <v>146</v>
      </c>
      <c r="C207" s="195"/>
      <c r="D207" s="150"/>
      <c r="E207" s="150">
        <v>117.8</v>
      </c>
      <c r="F207" s="150">
        <v>113.1</v>
      </c>
      <c r="G207" s="150">
        <v>101.4</v>
      </c>
      <c r="H207" s="196">
        <v>101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9.5">
      <c r="A208" s="91" t="s">
        <v>140</v>
      </c>
      <c r="B208" s="65" t="s">
        <v>22</v>
      </c>
      <c r="C208" s="195">
        <v>0.1</v>
      </c>
      <c r="D208" s="150">
        <v>31.229</v>
      </c>
      <c r="E208" s="150">
        <f>1.16+0.08+0.506+1.2+0.3+0.3+22.4</f>
        <v>25.945999999999998</v>
      </c>
      <c r="F208" s="150">
        <f>0.63+0.9+1.2+0.3+0.3+26.4</f>
        <v>29.729999999999997</v>
      </c>
      <c r="G208" s="150">
        <f>0.68+1.15+1.2+0.3+0.3+15.6+14.9</f>
        <v>34.13</v>
      </c>
      <c r="H208" s="196">
        <f>0.75+1.15+1.2+0.5+0.3+18.1+15.6</f>
        <v>37.6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29.25">
      <c r="A209" s="91"/>
      <c r="B209" s="65" t="s">
        <v>146</v>
      </c>
      <c r="C209" s="195">
        <v>420</v>
      </c>
      <c r="D209" s="150">
        <f>D208/C208*100/$D$196*100</f>
        <v>30112.503473641787</v>
      </c>
      <c r="E209" s="150">
        <v>76.8</v>
      </c>
      <c r="F209" s="150">
        <v>106.8</v>
      </c>
      <c r="G209" s="150">
        <v>106.6</v>
      </c>
      <c r="H209" s="196">
        <v>102.7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28.5">
      <c r="A210" s="91" t="s">
        <v>154</v>
      </c>
      <c r="B210" s="65" t="s">
        <v>22</v>
      </c>
      <c r="C210" s="195"/>
      <c r="D210" s="150"/>
      <c r="E210" s="150"/>
      <c r="F210" s="150"/>
      <c r="G210" s="150"/>
      <c r="H210" s="19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29.25">
      <c r="A211" s="91"/>
      <c r="B211" s="65" t="s">
        <v>146</v>
      </c>
      <c r="C211" s="195"/>
      <c r="D211" s="150"/>
      <c r="E211" s="150"/>
      <c r="F211" s="150"/>
      <c r="G211" s="150"/>
      <c r="H211" s="19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9.5">
      <c r="A212" s="91" t="s">
        <v>155</v>
      </c>
      <c r="B212" s="65" t="s">
        <v>22</v>
      </c>
      <c r="C212" s="195"/>
      <c r="D212" s="150"/>
      <c r="E212" s="150"/>
      <c r="F212" s="150"/>
      <c r="G212" s="150"/>
      <c r="H212" s="19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29.25">
      <c r="A213" s="91"/>
      <c r="B213" s="65" t="s">
        <v>146</v>
      </c>
      <c r="C213" s="195"/>
      <c r="D213" s="150"/>
      <c r="E213" s="150"/>
      <c r="F213" s="150"/>
      <c r="G213" s="150"/>
      <c r="H213" s="19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28.5">
      <c r="A214" s="91" t="s">
        <v>156</v>
      </c>
      <c r="B214" s="65" t="s">
        <v>22</v>
      </c>
      <c r="C214" s="195"/>
      <c r="D214" s="150"/>
      <c r="E214" s="150"/>
      <c r="F214" s="150"/>
      <c r="G214" s="150"/>
      <c r="H214" s="19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29.25">
      <c r="A215" s="91"/>
      <c r="B215" s="65" t="s">
        <v>146</v>
      </c>
      <c r="C215" s="195"/>
      <c r="D215" s="150"/>
      <c r="E215" s="150"/>
      <c r="F215" s="150"/>
      <c r="G215" s="150"/>
      <c r="H215" s="19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28.5">
      <c r="A216" s="91" t="s">
        <v>157</v>
      </c>
      <c r="B216" s="65" t="s">
        <v>22</v>
      </c>
      <c r="C216" s="195"/>
      <c r="D216" s="150"/>
      <c r="E216" s="150"/>
      <c r="F216" s="150"/>
      <c r="G216" s="150"/>
      <c r="H216" s="19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29.25">
      <c r="A217" s="91"/>
      <c r="B217" s="65" t="s">
        <v>146</v>
      </c>
      <c r="C217" s="195"/>
      <c r="D217" s="150"/>
      <c r="E217" s="150"/>
      <c r="F217" s="150"/>
      <c r="G217" s="150"/>
      <c r="H217" s="19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28.5">
      <c r="A218" s="91" t="s">
        <v>158</v>
      </c>
      <c r="B218" s="65" t="s">
        <v>22</v>
      </c>
      <c r="C218" s="195"/>
      <c r="D218" s="150"/>
      <c r="E218" s="150"/>
      <c r="F218" s="150"/>
      <c r="G218" s="150"/>
      <c r="H218" s="19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29.25">
      <c r="A219" s="91"/>
      <c r="B219" s="65" t="s">
        <v>146</v>
      </c>
      <c r="C219" s="195"/>
      <c r="D219" s="150"/>
      <c r="E219" s="150"/>
      <c r="F219" s="150"/>
      <c r="G219" s="150"/>
      <c r="H219" s="19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28.5">
      <c r="A220" s="91" t="s">
        <v>159</v>
      </c>
      <c r="B220" s="65" t="s">
        <v>22</v>
      </c>
      <c r="C220" s="195"/>
      <c r="D220" s="150"/>
      <c r="E220" s="150">
        <f>25.15</f>
        <v>25.15</v>
      </c>
      <c r="F220" s="150">
        <f>24.72+2.5</f>
        <v>27.22</v>
      </c>
      <c r="G220" s="150">
        <f>22.521+7</f>
        <v>29.521</v>
      </c>
      <c r="H220" s="196">
        <f>21.349+11</f>
        <v>32.349000000000004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29.25">
      <c r="A221" s="91"/>
      <c r="B221" s="65" t="s">
        <v>146</v>
      </c>
      <c r="C221" s="195"/>
      <c r="D221" s="150"/>
      <c r="E221" s="150"/>
      <c r="F221" s="150">
        <v>100.9</v>
      </c>
      <c r="G221" s="150">
        <v>100.7</v>
      </c>
      <c r="H221" s="196">
        <v>102.1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9.5">
      <c r="A222" s="91" t="s">
        <v>160</v>
      </c>
      <c r="B222" s="65" t="s">
        <v>22</v>
      </c>
      <c r="C222" s="195"/>
      <c r="D222" s="150"/>
      <c r="E222" s="150"/>
      <c r="F222" s="150"/>
      <c r="G222" s="150"/>
      <c r="H222" s="19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29.25">
      <c r="A223" s="91"/>
      <c r="B223" s="65" t="s">
        <v>146</v>
      </c>
      <c r="C223" s="195"/>
      <c r="D223" s="150"/>
      <c r="E223" s="150"/>
      <c r="F223" s="150"/>
      <c r="G223" s="150"/>
      <c r="H223" s="19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9.5">
      <c r="A224" s="91" t="s">
        <v>161</v>
      </c>
      <c r="B224" s="65" t="s">
        <v>22</v>
      </c>
      <c r="C224" s="195"/>
      <c r="D224" s="150"/>
      <c r="E224" s="150"/>
      <c r="F224" s="150"/>
      <c r="G224" s="150"/>
      <c r="H224" s="19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29.25">
      <c r="A225" s="91"/>
      <c r="B225" s="65" t="s">
        <v>146</v>
      </c>
      <c r="C225" s="195"/>
      <c r="D225" s="150"/>
      <c r="E225" s="150"/>
      <c r="F225" s="150"/>
      <c r="G225" s="150"/>
      <c r="H225" s="19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28.5">
      <c r="A226" s="91" t="s">
        <v>162</v>
      </c>
      <c r="B226" s="65" t="s">
        <v>22</v>
      </c>
      <c r="C226" s="195"/>
      <c r="D226" s="150"/>
      <c r="E226" s="150"/>
      <c r="F226" s="150"/>
      <c r="G226" s="150"/>
      <c r="H226" s="19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29.25">
      <c r="A227" s="91"/>
      <c r="B227" s="65" t="s">
        <v>146</v>
      </c>
      <c r="C227" s="195"/>
      <c r="D227" s="150"/>
      <c r="E227" s="150"/>
      <c r="F227" s="150"/>
      <c r="G227" s="150"/>
      <c r="H227" s="19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28.5">
      <c r="A228" s="91" t="s">
        <v>163</v>
      </c>
      <c r="B228" s="65" t="s">
        <v>22</v>
      </c>
      <c r="C228" s="195"/>
      <c r="D228" s="150"/>
      <c r="E228" s="150"/>
      <c r="F228" s="150"/>
      <c r="G228" s="150"/>
      <c r="H228" s="19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29.25">
      <c r="A229" s="91"/>
      <c r="B229" s="65" t="s">
        <v>146</v>
      </c>
      <c r="C229" s="195"/>
      <c r="D229" s="150"/>
      <c r="E229" s="150"/>
      <c r="F229" s="150"/>
      <c r="G229" s="150"/>
      <c r="H229" s="19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9.5">
      <c r="A230" s="91" t="s">
        <v>164</v>
      </c>
      <c r="B230" s="65" t="s">
        <v>22</v>
      </c>
      <c r="C230" s="195"/>
      <c r="D230" s="150"/>
      <c r="E230" s="150"/>
      <c r="F230" s="150"/>
      <c r="G230" s="150"/>
      <c r="H230" s="19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29.25">
      <c r="A231" s="91"/>
      <c r="B231" s="65" t="s">
        <v>146</v>
      </c>
      <c r="C231" s="195"/>
      <c r="D231" s="150"/>
      <c r="E231" s="150"/>
      <c r="F231" s="150"/>
      <c r="G231" s="150"/>
      <c r="H231" s="19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28.5">
      <c r="A232" s="91" t="s">
        <v>165</v>
      </c>
      <c r="B232" s="65" t="s">
        <v>22</v>
      </c>
      <c r="C232" s="195"/>
      <c r="D232" s="150"/>
      <c r="E232" s="150"/>
      <c r="F232" s="150"/>
      <c r="G232" s="150"/>
      <c r="H232" s="19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29.25">
      <c r="A233" s="91"/>
      <c r="B233" s="65" t="s">
        <v>146</v>
      </c>
      <c r="C233" s="195"/>
      <c r="D233" s="150"/>
      <c r="E233" s="150"/>
      <c r="F233" s="150"/>
      <c r="G233" s="150"/>
      <c r="H233" s="19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9.5">
      <c r="A234" s="91" t="s">
        <v>166</v>
      </c>
      <c r="B234" s="65" t="s">
        <v>22</v>
      </c>
      <c r="C234" s="195"/>
      <c r="D234" s="150"/>
      <c r="E234" s="150"/>
      <c r="F234" s="150"/>
      <c r="G234" s="150"/>
      <c r="H234" s="19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29.25">
      <c r="A235" s="91"/>
      <c r="B235" s="65" t="s">
        <v>146</v>
      </c>
      <c r="C235" s="195"/>
      <c r="D235" s="150"/>
      <c r="E235" s="150"/>
      <c r="F235" s="150"/>
      <c r="G235" s="150"/>
      <c r="H235" s="19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9.5">
      <c r="A236" s="91" t="s">
        <v>167</v>
      </c>
      <c r="B236" s="65" t="s">
        <v>22</v>
      </c>
      <c r="C236" s="195"/>
      <c r="D236" s="150"/>
      <c r="E236" s="150"/>
      <c r="F236" s="150"/>
      <c r="G236" s="150"/>
      <c r="H236" s="19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29.25">
      <c r="A237" s="91"/>
      <c r="B237" s="65" t="s">
        <v>146</v>
      </c>
      <c r="C237" s="195"/>
      <c r="D237" s="150"/>
      <c r="E237" s="150"/>
      <c r="F237" s="150"/>
      <c r="G237" s="150"/>
      <c r="H237" s="19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28.5">
      <c r="A238" s="91" t="s">
        <v>141</v>
      </c>
      <c r="B238" s="65" t="s">
        <v>22</v>
      </c>
      <c r="C238" s="195">
        <v>192.7</v>
      </c>
      <c r="D238" s="150">
        <v>173.831</v>
      </c>
      <c r="E238" s="150">
        <f>16.63+70.8*1.072*1.01</f>
        <v>93.286576</v>
      </c>
      <c r="F238" s="150">
        <f>97.044+70.3*1.072*1.01*1.012</f>
        <v>174.072598592</v>
      </c>
      <c r="G238" s="150">
        <f>15.616+70.3*1.072*1.01*1.012*1.03+50</f>
        <v>144.95545654976002</v>
      </c>
      <c r="H238" s="196">
        <f>6+70.3*1.072*1.01*1.012*1.03*1.01+50*1.03</f>
        <v>137.6328511152576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29.25">
      <c r="A239" s="91"/>
      <c r="B239" s="65" t="s">
        <v>146</v>
      </c>
      <c r="C239" s="195">
        <v>62</v>
      </c>
      <c r="D239" s="150">
        <f>D238/C238*100/$D$196*100</f>
        <v>86.98298340161394</v>
      </c>
      <c r="E239" s="150">
        <v>49.6</v>
      </c>
      <c r="F239" s="150">
        <v>173.1</v>
      </c>
      <c r="G239" s="150">
        <v>77.3</v>
      </c>
      <c r="H239" s="196">
        <v>88.5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19.5">
      <c r="A240" s="91" t="s">
        <v>142</v>
      </c>
      <c r="B240" s="65" t="s">
        <v>22</v>
      </c>
      <c r="C240" s="195"/>
      <c r="D240" s="150"/>
      <c r="E240" s="150"/>
      <c r="F240" s="150"/>
      <c r="G240" s="150"/>
      <c r="H240" s="19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29.25">
      <c r="A241" s="91"/>
      <c r="B241" s="65" t="s">
        <v>146</v>
      </c>
      <c r="C241" s="195"/>
      <c r="D241" s="150"/>
      <c r="E241" s="150"/>
      <c r="F241" s="150"/>
      <c r="G241" s="150"/>
      <c r="H241" s="19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42.75">
      <c r="A242" s="91" t="s">
        <v>143</v>
      </c>
      <c r="B242" s="65" t="s">
        <v>22</v>
      </c>
      <c r="C242" s="195">
        <v>2.5</v>
      </c>
      <c r="D242" s="150">
        <v>19.999</v>
      </c>
      <c r="E242" s="150">
        <v>21.8</v>
      </c>
      <c r="F242" s="150">
        <v>23.7</v>
      </c>
      <c r="G242" s="150">
        <v>25.6</v>
      </c>
      <c r="H242" s="196">
        <v>27.5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29.25">
      <c r="A243" s="91"/>
      <c r="B243" s="65" t="s">
        <v>146</v>
      </c>
      <c r="C243" s="195">
        <v>630</v>
      </c>
      <c r="D243" s="150">
        <f>D242/C242*100/$D$196*100</f>
        <v>771.3598987727588</v>
      </c>
      <c r="E243" s="150">
        <v>100.7</v>
      </c>
      <c r="F243" s="150">
        <v>100.8</v>
      </c>
      <c r="G243" s="150">
        <v>100.3</v>
      </c>
      <c r="H243" s="196">
        <v>100.1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9.5">
      <c r="A244" s="91" t="s">
        <v>168</v>
      </c>
      <c r="B244" s="65" t="s">
        <v>22</v>
      </c>
      <c r="C244" s="195">
        <v>0.1</v>
      </c>
      <c r="D244" s="150">
        <v>77.789</v>
      </c>
      <c r="E244" s="150">
        <v>0.8</v>
      </c>
      <c r="F244" s="150">
        <v>1.2</v>
      </c>
      <c r="G244" s="150">
        <v>1.3</v>
      </c>
      <c r="H244" s="196">
        <v>1.4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29.25">
      <c r="A245" s="91"/>
      <c r="B245" s="65" t="s">
        <v>146</v>
      </c>
      <c r="C245" s="195">
        <v>8</v>
      </c>
      <c r="D245" s="150">
        <f>D244/C244*100/$D$196*100</f>
        <v>75007.89435176026</v>
      </c>
      <c r="E245" s="150">
        <v>1</v>
      </c>
      <c r="F245" s="150">
        <v>139.1</v>
      </c>
      <c r="G245" s="150">
        <v>100.6</v>
      </c>
      <c r="H245" s="196">
        <v>100.4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9.5">
      <c r="A246" s="91" t="s">
        <v>169</v>
      </c>
      <c r="B246" s="65" t="s">
        <v>22</v>
      </c>
      <c r="C246" s="195">
        <v>1026</v>
      </c>
      <c r="D246" s="150">
        <v>1678.871</v>
      </c>
      <c r="E246" s="150">
        <f>9+2000+78.792</f>
        <v>2087.792</v>
      </c>
      <c r="F246" s="150">
        <f>5+805.125+1500</f>
        <v>2310.125</v>
      </c>
      <c r="G246" s="150">
        <f>5+2500+200</f>
        <v>2705</v>
      </c>
      <c r="H246" s="196">
        <f>5+2700+300</f>
        <v>3005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29.25">
      <c r="A247" s="91"/>
      <c r="B247" s="65" t="s">
        <v>146</v>
      </c>
      <c r="C247" s="195">
        <v>78</v>
      </c>
      <c r="D247" s="150">
        <f>D246/C246*100/$D$196*100</f>
        <v>157.7824705821695</v>
      </c>
      <c r="E247" s="150">
        <v>114.9</v>
      </c>
      <c r="F247" s="150">
        <v>102.6</v>
      </c>
      <c r="G247" s="150">
        <v>108.7</v>
      </c>
      <c r="H247" s="196">
        <v>103.5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9.5">
      <c r="A248" s="91" t="s">
        <v>170</v>
      </c>
      <c r="B248" s="65" t="s">
        <v>22</v>
      </c>
      <c r="C248" s="195"/>
      <c r="D248" s="150"/>
      <c r="E248" s="150"/>
      <c r="F248" s="150"/>
      <c r="G248" s="150"/>
      <c r="H248" s="19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29.25">
      <c r="A249" s="91"/>
      <c r="B249" s="65" t="s">
        <v>146</v>
      </c>
      <c r="C249" s="195"/>
      <c r="D249" s="150"/>
      <c r="E249" s="150"/>
      <c r="F249" s="150"/>
      <c r="G249" s="150"/>
      <c r="H249" s="19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28.5">
      <c r="A250" s="91" t="s">
        <v>171</v>
      </c>
      <c r="B250" s="65" t="s">
        <v>22</v>
      </c>
      <c r="C250" s="195">
        <v>23.9</v>
      </c>
      <c r="D250" s="150">
        <v>58.853</v>
      </c>
      <c r="E250" s="150">
        <v>12</v>
      </c>
      <c r="F250" s="150">
        <v>12</v>
      </c>
      <c r="G250" s="150">
        <v>12</v>
      </c>
      <c r="H250" s="196">
        <v>12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29.25">
      <c r="A251" s="91"/>
      <c r="B251" s="65" t="s">
        <v>146</v>
      </c>
      <c r="C251" s="195">
        <v>153</v>
      </c>
      <c r="D251" s="150">
        <f>D250/C250*100/$D$196*100</f>
        <v>237.4430652624325</v>
      </c>
      <c r="E251" s="150">
        <v>18.8</v>
      </c>
      <c r="F251" s="150">
        <f>F250/E250*100/$H$193*100</f>
        <v>93.19664492078286</v>
      </c>
      <c r="G251" s="150">
        <v>92.9</v>
      </c>
      <c r="H251" s="196">
        <v>93.2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28.5">
      <c r="A252" s="91" t="s">
        <v>172</v>
      </c>
      <c r="B252" s="65" t="s">
        <v>22</v>
      </c>
      <c r="C252" s="195">
        <v>12.9</v>
      </c>
      <c r="D252" s="150">
        <v>18.071</v>
      </c>
      <c r="E252" s="150">
        <f>0.86+1+0.5+7.5+4.8</f>
        <v>14.66</v>
      </c>
      <c r="F252" s="150">
        <f>5+7.5+4.3</f>
        <v>16.8</v>
      </c>
      <c r="G252" s="150">
        <f>5+7.5+4.8+2</f>
        <v>19.3</v>
      </c>
      <c r="H252" s="196">
        <f>5+13.6+3</f>
        <v>21.6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29.25">
      <c r="A253" s="91"/>
      <c r="B253" s="65" t="s">
        <v>146</v>
      </c>
      <c r="C253" s="195">
        <v>83</v>
      </c>
      <c r="D253" s="150">
        <f>D252/C252*100/$D$196*100</f>
        <v>135.0769547268306</v>
      </c>
      <c r="E253" s="150">
        <v>75</v>
      </c>
      <c r="F253" s="150">
        <v>106.3</v>
      </c>
      <c r="G253" s="150">
        <v>106.7</v>
      </c>
      <c r="H253" s="196">
        <v>104.3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9.5">
      <c r="A254" s="91" t="s">
        <v>173</v>
      </c>
      <c r="B254" s="65" t="s">
        <v>22</v>
      </c>
      <c r="C254" s="195">
        <v>13</v>
      </c>
      <c r="D254" s="150">
        <v>12.364</v>
      </c>
      <c r="E254" s="150">
        <v>37.1</v>
      </c>
      <c r="F254" s="150">
        <v>42.8</v>
      </c>
      <c r="G254" s="150">
        <f>1.3+0.3+40.4+6</f>
        <v>48</v>
      </c>
      <c r="H254" s="196">
        <f>1.3+0.4+44+6</f>
        <v>51.7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29.25">
      <c r="A255" s="91"/>
      <c r="B255" s="65" t="s">
        <v>146</v>
      </c>
      <c r="C255" s="195">
        <v>59</v>
      </c>
      <c r="D255" s="150">
        <f>D254/C254*100/$D$196*100</f>
        <v>91.70741025922827</v>
      </c>
      <c r="E255" s="150">
        <v>277.3</v>
      </c>
      <c r="F255" s="150">
        <v>107</v>
      </c>
      <c r="G255" s="150">
        <v>104.1</v>
      </c>
      <c r="H255" s="196">
        <v>100.4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9.5">
      <c r="A256" s="91" t="s">
        <v>174</v>
      </c>
      <c r="B256" s="65" t="s">
        <v>22</v>
      </c>
      <c r="C256" s="195">
        <v>10</v>
      </c>
      <c r="D256" s="150">
        <v>21.611</v>
      </c>
      <c r="E256" s="150">
        <f>0.099+0.0445+11.8+9.7+14.5</f>
        <v>36.1435</v>
      </c>
      <c r="F256" s="150">
        <f>1+1.5+4.7+10.7+15.2+4.4</f>
        <v>37.49999999999999</v>
      </c>
      <c r="G256" s="150">
        <f>0.5+1.5+3.2+14.5+16.3+5</f>
        <v>41</v>
      </c>
      <c r="H256" s="196">
        <f>0.5+1.5+3.4+16.5+17.1+5</f>
        <v>44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29.25">
      <c r="A257" s="91"/>
      <c r="B257" s="65" t="s">
        <v>146</v>
      </c>
      <c r="C257" s="195">
        <v>45</v>
      </c>
      <c r="D257" s="150">
        <f>D256/C256*100/$D$196*100</f>
        <v>208.38365383741805</v>
      </c>
      <c r="E257" s="150">
        <v>154.6</v>
      </c>
      <c r="F257" s="150">
        <v>96.2</v>
      </c>
      <c r="G257" s="150">
        <v>101.5</v>
      </c>
      <c r="H257" s="196">
        <v>100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28.5">
      <c r="A258" s="91" t="s">
        <v>175</v>
      </c>
      <c r="B258" s="65" t="s">
        <v>22</v>
      </c>
      <c r="C258" s="195">
        <v>4.7</v>
      </c>
      <c r="D258" s="150">
        <v>7.946</v>
      </c>
      <c r="E258" s="150">
        <v>8.6</v>
      </c>
      <c r="F258" s="150">
        <v>9.28</v>
      </c>
      <c r="G258" s="150">
        <v>10.08</v>
      </c>
      <c r="H258" s="196">
        <v>10.9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29.25">
      <c r="A259" s="91"/>
      <c r="B259" s="65" t="s">
        <v>146</v>
      </c>
      <c r="C259" s="195">
        <v>36</v>
      </c>
      <c r="D259" s="150">
        <f>D258/C258*100/$D$196*100</f>
        <v>163.01947426223285</v>
      </c>
      <c r="E259" s="150">
        <v>100</v>
      </c>
      <c r="F259" s="150">
        <v>100.1</v>
      </c>
      <c r="G259" s="150">
        <v>100.9</v>
      </c>
      <c r="H259" s="196">
        <v>100.8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9.5">
      <c r="A260" s="91" t="s">
        <v>176</v>
      </c>
      <c r="B260" s="65" t="s">
        <v>22</v>
      </c>
      <c r="C260" s="195"/>
      <c r="D260" s="150"/>
      <c r="E260" s="150"/>
      <c r="F260" s="150"/>
      <c r="G260" s="150"/>
      <c r="H260" s="19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29.25">
      <c r="A261" s="91"/>
      <c r="B261" s="65" t="s">
        <v>146</v>
      </c>
      <c r="C261" s="195">
        <f>C194-C262</f>
        <v>-0.045000000000982254</v>
      </c>
      <c r="D261" s="150">
        <f>D194-D262</f>
        <v>0.04700000000048021</v>
      </c>
      <c r="E261" s="150">
        <f>E194-E262</f>
        <v>0.01007600000139064</v>
      </c>
      <c r="F261" s="150">
        <f>F191-F262</f>
        <v>0.01599999999780266</v>
      </c>
      <c r="G261" s="150">
        <f>G194-G262</f>
        <v>-0.012543450240627863</v>
      </c>
      <c r="H261" s="196">
        <f>H194-H262</f>
        <v>0.0008511152591381688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45">
      <c r="A262" s="93" t="s">
        <v>177</v>
      </c>
      <c r="B262" s="65"/>
      <c r="C262" s="195">
        <f aca="true" t="shared" si="1" ref="C262:H262">C263+C267</f>
        <v>5686.200000000001</v>
      </c>
      <c r="D262" s="150">
        <f t="shared" si="1"/>
        <v>6975.7519999999995</v>
      </c>
      <c r="E262" s="150">
        <f t="shared" si="1"/>
        <v>7714.719</v>
      </c>
      <c r="F262" s="150">
        <f t="shared" si="1"/>
        <v>10060.284000000001</v>
      </c>
      <c r="G262" s="150">
        <f t="shared" si="1"/>
        <v>9160.019</v>
      </c>
      <c r="H262" s="196">
        <f t="shared" si="1"/>
        <v>10223.866000000002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9.5">
      <c r="A263" s="89" t="s">
        <v>178</v>
      </c>
      <c r="B263" s="65" t="s">
        <v>22</v>
      </c>
      <c r="C263" s="195">
        <f aca="true" t="shared" si="2" ref="C263:H263">C265+C266</f>
        <v>876.6</v>
      </c>
      <c r="D263" s="150">
        <f t="shared" si="2"/>
        <v>2423.182</v>
      </c>
      <c r="E263" s="150">
        <f t="shared" si="2"/>
        <v>3688.004</v>
      </c>
      <c r="F263" s="150">
        <f t="shared" si="2"/>
        <v>5175.993</v>
      </c>
      <c r="G263" s="150">
        <f t="shared" si="2"/>
        <v>5202.119000000001</v>
      </c>
      <c r="H263" s="196">
        <f t="shared" si="2"/>
        <v>6188.866000000001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5.75">
      <c r="A264" s="90" t="s">
        <v>179</v>
      </c>
      <c r="B264" s="65"/>
      <c r="C264" s="195"/>
      <c r="D264" s="163"/>
      <c r="E264" s="164"/>
      <c r="F264" s="150"/>
      <c r="G264" s="150"/>
      <c r="H264" s="19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9.5">
      <c r="A265" s="91" t="s">
        <v>180</v>
      </c>
      <c r="B265" s="65" t="s">
        <v>22</v>
      </c>
      <c r="C265" s="195">
        <v>92</v>
      </c>
      <c r="D265" s="150">
        <v>424.762</v>
      </c>
      <c r="E265" s="150">
        <f>57.7+104.496+73.485+1332.513+6+0.11+4.033+0.506+1</f>
        <v>1579.8429999999998</v>
      </c>
      <c r="F265" s="150">
        <f>100+182.045+518+1342.17+20.132+0.9+1.2+0.3</f>
        <v>2164.7470000000003</v>
      </c>
      <c r="G265" s="150">
        <f>205+378+505.716+430.983+2+0.132+1.15+1.2+0.3</f>
        <v>1524.481</v>
      </c>
      <c r="H265" s="196">
        <f>220+1214+507.471+2+0.132+1.15+1.2+0.5</f>
        <v>1946.4530000000002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9.5">
      <c r="A266" s="91" t="s">
        <v>181</v>
      </c>
      <c r="B266" s="65" t="s">
        <v>22</v>
      </c>
      <c r="C266" s="195">
        <f>744.6+40</f>
        <v>784.6</v>
      </c>
      <c r="D266" s="150">
        <f>1824.512+173.908</f>
        <v>1998.4199999999998</v>
      </c>
      <c r="E266" s="150">
        <f>174.541+615.702+376.578+140.598+303.022+25.15+3+7+2.3+1.16+0.08+16.63+95+77+268+12-9.6</f>
        <v>2108.161</v>
      </c>
      <c r="F266" s="150">
        <f>391.058+314.499+71.23+351.689+721.176+24.72+3+7+2.3+0.63+97.044+95+97+300+534.9</f>
        <v>3011.2460000000005</v>
      </c>
      <c r="G266" s="150">
        <f>646.203+74.78+64.36+262.445+806.133+22.521+3+3.2+2.3+0.68+15.616+95+117+1564.4</f>
        <v>3677.6380000000004</v>
      </c>
      <c r="H266" s="196">
        <f>381.259+47.8+472+261.78+479.275+21.349+3+2.5+2.3+0.75+6+95+137+2332.4</f>
        <v>4242.4130000000005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9.5">
      <c r="A267" s="89" t="s">
        <v>182</v>
      </c>
      <c r="B267" s="65" t="s">
        <v>22</v>
      </c>
      <c r="C267" s="195">
        <f aca="true" t="shared" si="3" ref="C267:H267">C269+C271+C281+C272</f>
        <v>4809.6</v>
      </c>
      <c r="D267" s="150">
        <f t="shared" si="3"/>
        <v>4552.57</v>
      </c>
      <c r="E267" s="150">
        <f t="shared" si="3"/>
        <v>4026.715</v>
      </c>
      <c r="F267" s="150">
        <f t="shared" si="3"/>
        <v>4884.291000000001</v>
      </c>
      <c r="G267" s="150">
        <f t="shared" si="3"/>
        <v>3957.9</v>
      </c>
      <c r="H267" s="196">
        <f t="shared" si="3"/>
        <v>4035.0000000000014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5.75">
      <c r="A268" s="90" t="s">
        <v>179</v>
      </c>
      <c r="B268" s="65"/>
      <c r="C268" s="195"/>
      <c r="D268" s="150"/>
      <c r="E268" s="150"/>
      <c r="F268" s="150"/>
      <c r="G268" s="150"/>
      <c r="H268" s="19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9.5">
      <c r="A269" s="91" t="s">
        <v>183</v>
      </c>
      <c r="B269" s="65" t="s">
        <v>22</v>
      </c>
      <c r="C269" s="195">
        <v>158</v>
      </c>
      <c r="D269" s="150">
        <v>1430.082</v>
      </c>
      <c r="E269" s="150">
        <f>100+87+848.8</f>
        <v>1035.8</v>
      </c>
      <c r="F269" s="150">
        <f>600+4704.091-3000-200-(566.5-60.3)</f>
        <v>1597.8910000000003</v>
      </c>
      <c r="G269" s="150">
        <f>1500+2600+1200-200-(14572.5-11319.1)</f>
        <v>1846.6000000000004</v>
      </c>
      <c r="H269" s="196">
        <f>2000+2000+1800-200-(16877.6-12724.5)</f>
        <v>1446.9000000000015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9.5">
      <c r="A270" s="96" t="s">
        <v>184</v>
      </c>
      <c r="B270" s="65" t="s">
        <v>22</v>
      </c>
      <c r="C270" s="195"/>
      <c r="D270" s="150"/>
      <c r="E270" s="150"/>
      <c r="F270" s="150"/>
      <c r="G270" s="150"/>
      <c r="H270" s="19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9.5">
      <c r="A271" s="91" t="s">
        <v>185</v>
      </c>
      <c r="B271" s="65" t="s">
        <v>22</v>
      </c>
      <c r="C271" s="195">
        <v>801.9</v>
      </c>
      <c r="D271" s="150">
        <v>1137.617</v>
      </c>
      <c r="E271" s="150">
        <f>175+3+500</f>
        <v>678</v>
      </c>
      <c r="F271" s="150">
        <f>290+3+502+200+600</f>
        <v>1595</v>
      </c>
      <c r="G271" s="150">
        <f>130+3+1000</f>
        <v>1133</v>
      </c>
      <c r="H271" s="196">
        <f>130+3+1500</f>
        <v>1633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9.5">
      <c r="A272" s="91" t="s">
        <v>348</v>
      </c>
      <c r="B272" s="65" t="s">
        <v>22</v>
      </c>
      <c r="C272" s="195">
        <f aca="true" t="shared" si="4" ref="C272:H272">C274+C276</f>
        <v>1167.6</v>
      </c>
      <c r="D272" s="150">
        <f t="shared" si="4"/>
        <v>1776.9089999999999</v>
      </c>
      <c r="E272" s="150">
        <f t="shared" si="4"/>
        <v>2274.7000000000003</v>
      </c>
      <c r="F272" s="150">
        <f t="shared" si="4"/>
        <v>1022</v>
      </c>
      <c r="G272" s="150">
        <f t="shared" si="4"/>
        <v>284.7</v>
      </c>
      <c r="H272" s="196">
        <f t="shared" si="4"/>
        <v>340.9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5.75">
      <c r="A273" s="96" t="s">
        <v>122</v>
      </c>
      <c r="B273" s="65"/>
      <c r="C273" s="195"/>
      <c r="D273" s="150"/>
      <c r="E273" s="150"/>
      <c r="F273" s="150"/>
      <c r="G273" s="150"/>
      <c r="H273" s="19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9.5">
      <c r="A274" s="96" t="s">
        <v>353</v>
      </c>
      <c r="B274" s="65" t="s">
        <v>22</v>
      </c>
      <c r="C274" s="195">
        <v>523.3</v>
      </c>
      <c r="D274" s="150">
        <v>24.982</v>
      </c>
      <c r="E274" s="150">
        <v>64.3</v>
      </c>
      <c r="F274" s="150">
        <v>31</v>
      </c>
      <c r="G274" s="150">
        <v>30</v>
      </c>
      <c r="H274" s="196">
        <v>35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28.5">
      <c r="A275" s="97" t="s">
        <v>349</v>
      </c>
      <c r="B275" s="65" t="s">
        <v>22</v>
      </c>
      <c r="C275" s="195"/>
      <c r="D275" s="150"/>
      <c r="E275" s="150"/>
      <c r="F275" s="150"/>
      <c r="G275" s="150"/>
      <c r="H275" s="19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28.5">
      <c r="A276" s="96" t="s">
        <v>371</v>
      </c>
      <c r="B276" s="65" t="s">
        <v>22</v>
      </c>
      <c r="C276" s="195">
        <f aca="true" t="shared" si="5" ref="C276:H276">C278+C279</f>
        <v>644.3000000000001</v>
      </c>
      <c r="D276" s="150">
        <f t="shared" si="5"/>
        <v>1751.927</v>
      </c>
      <c r="E276" s="150">
        <f t="shared" si="5"/>
        <v>2210.4</v>
      </c>
      <c r="F276" s="150">
        <f t="shared" si="5"/>
        <v>991</v>
      </c>
      <c r="G276" s="150">
        <f t="shared" si="5"/>
        <v>254.7</v>
      </c>
      <c r="H276" s="196">
        <f t="shared" si="5"/>
        <v>305.9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5.75">
      <c r="A277" s="97" t="s">
        <v>122</v>
      </c>
      <c r="B277" s="65"/>
      <c r="C277" s="195"/>
      <c r="D277" s="150"/>
      <c r="E277" s="150"/>
      <c r="F277" s="150"/>
      <c r="G277" s="150"/>
      <c r="H277" s="19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9.5">
      <c r="A278" s="97" t="s">
        <v>354</v>
      </c>
      <c r="B278" s="65" t="s">
        <v>22</v>
      </c>
      <c r="C278" s="195">
        <v>619.1</v>
      </c>
      <c r="D278" s="150">
        <v>1687.389</v>
      </c>
      <c r="E278" s="150">
        <v>2105.3</v>
      </c>
      <c r="F278" s="150">
        <v>873.6</v>
      </c>
      <c r="G278" s="150">
        <v>100</v>
      </c>
      <c r="H278" s="196">
        <v>143.2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9.5">
      <c r="A279" s="97" t="s">
        <v>355</v>
      </c>
      <c r="B279" s="65" t="s">
        <v>22</v>
      </c>
      <c r="C279" s="195">
        <v>25.2</v>
      </c>
      <c r="D279" s="150">
        <f>64.538</f>
        <v>64.538</v>
      </c>
      <c r="E279" s="150">
        <v>105.1</v>
      </c>
      <c r="F279" s="150">
        <v>117.4</v>
      </c>
      <c r="G279" s="150">
        <v>154.7</v>
      </c>
      <c r="H279" s="196">
        <v>162.7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9.5">
      <c r="A280" s="91" t="s">
        <v>186</v>
      </c>
      <c r="B280" s="65" t="s">
        <v>22</v>
      </c>
      <c r="C280" s="195"/>
      <c r="D280" s="150"/>
      <c r="E280" s="150">
        <f>10.68624+4.5</f>
        <v>15.18624</v>
      </c>
      <c r="F280" s="150">
        <v>0.15882</v>
      </c>
      <c r="G280" s="150"/>
      <c r="H280" s="19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9.5">
      <c r="A281" s="89" t="s">
        <v>350</v>
      </c>
      <c r="B281" s="65" t="s">
        <v>22</v>
      </c>
      <c r="C281" s="195">
        <v>2682.1</v>
      </c>
      <c r="D281" s="150">
        <v>207.962</v>
      </c>
      <c r="E281" s="150">
        <f>38.215</f>
        <v>38.215</v>
      </c>
      <c r="F281" s="150">
        <f>200+469.4</f>
        <v>669.4</v>
      </c>
      <c r="G281" s="150">
        <f>200+493.6</f>
        <v>693.6</v>
      </c>
      <c r="H281" s="196">
        <f>200+414.2</f>
        <v>614.2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9.5">
      <c r="A282" s="89" t="s">
        <v>351</v>
      </c>
      <c r="B282" s="65" t="s">
        <v>22</v>
      </c>
      <c r="C282" s="195"/>
      <c r="D282" s="150"/>
      <c r="E282" s="150"/>
      <c r="F282" s="150"/>
      <c r="G282" s="150"/>
      <c r="H282" s="19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5.75">
      <c r="A283" s="89"/>
      <c r="B283" s="65"/>
      <c r="C283" s="195"/>
      <c r="D283" s="150"/>
      <c r="E283" s="150"/>
      <c r="F283" s="150"/>
      <c r="G283" s="150"/>
      <c r="H283" s="19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60">
      <c r="A284" s="89" t="s">
        <v>352</v>
      </c>
      <c r="B284" s="65" t="s">
        <v>22</v>
      </c>
      <c r="C284" s="195">
        <f>C286+C287</f>
        <v>0</v>
      </c>
      <c r="D284" s="150">
        <f>D286+D287</f>
        <v>0</v>
      </c>
      <c r="E284" s="150">
        <f>E286+E287</f>
        <v>0</v>
      </c>
      <c r="F284" s="150">
        <f>F286+F287</f>
        <v>0</v>
      </c>
      <c r="G284" s="150">
        <f>G286+G287</f>
        <v>0</v>
      </c>
      <c r="H284" s="196">
        <f>H286+H287</f>
        <v>0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5.75">
      <c r="A285" s="91" t="s">
        <v>187</v>
      </c>
      <c r="B285" s="65"/>
      <c r="C285" s="195"/>
      <c r="D285" s="150"/>
      <c r="E285" s="150"/>
      <c r="F285" s="150"/>
      <c r="G285" s="150"/>
      <c r="H285" s="19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28.5">
      <c r="A286" s="91" t="s">
        <v>356</v>
      </c>
      <c r="B286" s="65" t="s">
        <v>22</v>
      </c>
      <c r="C286" s="195"/>
      <c r="D286" s="150"/>
      <c r="E286" s="150"/>
      <c r="F286" s="150"/>
      <c r="G286" s="150"/>
      <c r="H286" s="19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28.5">
      <c r="A287" s="91" t="s">
        <v>357</v>
      </c>
      <c r="B287" s="65" t="s">
        <v>22</v>
      </c>
      <c r="C287" s="195"/>
      <c r="D287" s="150"/>
      <c r="E287" s="150"/>
      <c r="F287" s="150"/>
      <c r="G287" s="150"/>
      <c r="H287" s="19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5.75">
      <c r="A288" s="93" t="s">
        <v>188</v>
      </c>
      <c r="B288" s="65" t="s">
        <v>189</v>
      </c>
      <c r="C288" s="195">
        <f>C291+C293+C295</f>
        <v>9500</v>
      </c>
      <c r="D288" s="150">
        <f>D291+D293+D295</f>
        <v>12500</v>
      </c>
      <c r="E288" s="150">
        <f>E291+E293+E295</f>
        <v>12500</v>
      </c>
      <c r="F288" s="150">
        <f>F291+F293+F295</f>
        <v>12500</v>
      </c>
      <c r="G288" s="150">
        <f>G291+G293+G295</f>
        <v>12500</v>
      </c>
      <c r="H288" s="196">
        <f>H291+H293+H295</f>
        <v>12500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5.75">
      <c r="A289" s="89"/>
      <c r="B289" s="65" t="s">
        <v>8</v>
      </c>
      <c r="C289" s="195"/>
      <c r="D289" s="150"/>
      <c r="E289" s="150"/>
      <c r="F289" s="150"/>
      <c r="G289" s="150"/>
      <c r="H289" s="19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5.75">
      <c r="A290" s="90" t="s">
        <v>122</v>
      </c>
      <c r="B290" s="65"/>
      <c r="C290" s="195"/>
      <c r="D290" s="150"/>
      <c r="E290" s="150"/>
      <c r="F290" s="150"/>
      <c r="G290" s="150"/>
      <c r="H290" s="19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5.75">
      <c r="A291" s="91" t="s">
        <v>190</v>
      </c>
      <c r="B291" s="65" t="s">
        <v>189</v>
      </c>
      <c r="C291" s="195"/>
      <c r="D291" s="150"/>
      <c r="E291" s="150"/>
      <c r="F291" s="150"/>
      <c r="G291" s="150"/>
      <c r="H291" s="19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5.75">
      <c r="A292" s="91"/>
      <c r="B292" s="65" t="s">
        <v>8</v>
      </c>
      <c r="C292" s="195"/>
      <c r="D292" s="150"/>
      <c r="E292" s="150"/>
      <c r="F292" s="150"/>
      <c r="G292" s="150"/>
      <c r="H292" s="19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5.75">
      <c r="A293" s="91" t="s">
        <v>191</v>
      </c>
      <c r="B293" s="65" t="s">
        <v>189</v>
      </c>
      <c r="C293" s="195"/>
      <c r="D293" s="150"/>
      <c r="E293" s="150"/>
      <c r="F293" s="150"/>
      <c r="G293" s="150"/>
      <c r="H293" s="19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5.75">
      <c r="A294" s="91"/>
      <c r="B294" s="65" t="s">
        <v>8</v>
      </c>
      <c r="C294" s="195"/>
      <c r="D294" s="150"/>
      <c r="E294" s="150"/>
      <c r="F294" s="150"/>
      <c r="G294" s="150"/>
      <c r="H294" s="19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28.5">
      <c r="A295" s="91" t="s">
        <v>192</v>
      </c>
      <c r="B295" s="65" t="s">
        <v>189</v>
      </c>
      <c r="C295" s="195">
        <v>9500</v>
      </c>
      <c r="D295" s="150">
        <v>12500</v>
      </c>
      <c r="E295" s="150">
        <v>12500</v>
      </c>
      <c r="F295" s="150">
        <v>12500</v>
      </c>
      <c r="G295" s="150">
        <v>12500</v>
      </c>
      <c r="H295" s="196">
        <v>12500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8.75">
      <c r="A296" s="88" t="s">
        <v>193</v>
      </c>
      <c r="B296" s="65"/>
      <c r="C296" s="177"/>
      <c r="D296" s="151"/>
      <c r="E296" s="151"/>
      <c r="F296" s="151"/>
      <c r="G296" s="151"/>
      <c r="H296" s="178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28.5">
      <c r="A297" s="98" t="s">
        <v>378</v>
      </c>
      <c r="B297" s="68"/>
      <c r="C297" s="177"/>
      <c r="D297" s="151"/>
      <c r="E297" s="151"/>
      <c r="F297" s="151"/>
      <c r="G297" s="151"/>
      <c r="H297" s="178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5.75">
      <c r="A298" s="99" t="s">
        <v>194</v>
      </c>
      <c r="B298" s="68" t="s">
        <v>195</v>
      </c>
      <c r="C298" s="197">
        <v>1596.98</v>
      </c>
      <c r="D298" s="150">
        <v>3861.04</v>
      </c>
      <c r="E298" s="150">
        <v>5440</v>
      </c>
      <c r="F298" s="150">
        <v>5766.4</v>
      </c>
      <c r="G298" s="150">
        <v>6106.6</v>
      </c>
      <c r="H298" s="198">
        <v>6424.1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5.75">
      <c r="A299" s="100" t="s">
        <v>385</v>
      </c>
      <c r="B299" s="68" t="s">
        <v>195</v>
      </c>
      <c r="C299" s="197">
        <v>1427.9</v>
      </c>
      <c r="D299" s="150">
        <v>3802.49</v>
      </c>
      <c r="E299" s="150">
        <v>4840</v>
      </c>
      <c r="F299" s="150">
        <v>5186.4</v>
      </c>
      <c r="G299" s="150">
        <v>5546.6</v>
      </c>
      <c r="H299" s="198">
        <v>5884.1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5.75">
      <c r="A300" s="99" t="s">
        <v>379</v>
      </c>
      <c r="B300" s="68" t="s">
        <v>195</v>
      </c>
      <c r="C300" s="197">
        <v>1319.2</v>
      </c>
      <c r="D300" s="150">
        <v>1756.24</v>
      </c>
      <c r="E300" s="150">
        <f>D300*2117.8/1998.4</f>
        <v>1861.1714731785428</v>
      </c>
      <c r="F300" s="150">
        <f>E300*3011.2/2117.8</f>
        <v>2646.3119935948753</v>
      </c>
      <c r="G300" s="150">
        <v>3232</v>
      </c>
      <c r="H300" s="198">
        <v>3845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5.75">
      <c r="A301" s="99" t="s">
        <v>196</v>
      </c>
      <c r="B301" s="68" t="s">
        <v>195</v>
      </c>
      <c r="C301" s="197">
        <f>C302+C303</f>
        <v>565.83</v>
      </c>
      <c r="D301" s="150">
        <f>D302+D303</f>
        <v>711.8019999999999</v>
      </c>
      <c r="E301" s="150">
        <f>E302+E303</f>
        <v>741.54</v>
      </c>
      <c r="F301" s="150">
        <f>F302+F303</f>
        <v>737.5500000000001</v>
      </c>
      <c r="G301" s="150">
        <f>G302+G303</f>
        <v>761.14</v>
      </c>
      <c r="H301" s="178">
        <v>770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5.75">
      <c r="A302" s="101" t="s">
        <v>197</v>
      </c>
      <c r="B302" s="68" t="s">
        <v>195</v>
      </c>
      <c r="C302" s="197">
        <f>10.6+(-3.4)</f>
        <v>7.199999999999999</v>
      </c>
      <c r="D302" s="150">
        <v>88.06</v>
      </c>
      <c r="E302" s="150">
        <v>94.64</v>
      </c>
      <c r="F302" s="150">
        <v>98.45</v>
      </c>
      <c r="G302" s="150">
        <v>121.64</v>
      </c>
      <c r="H302" s="178">
        <v>130.5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5.75">
      <c r="A303" s="102" t="s">
        <v>198</v>
      </c>
      <c r="B303" s="68" t="s">
        <v>195</v>
      </c>
      <c r="C303" s="197">
        <v>558.63</v>
      </c>
      <c r="D303" s="150">
        <v>623.742</v>
      </c>
      <c r="E303" s="150">
        <v>646.9</v>
      </c>
      <c r="F303" s="150">
        <v>639.1</v>
      </c>
      <c r="G303" s="150">
        <v>639.5</v>
      </c>
      <c r="H303" s="178">
        <v>639.5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5.75">
      <c r="A304" s="103" t="s">
        <v>380</v>
      </c>
      <c r="B304" s="68" t="s">
        <v>195</v>
      </c>
      <c r="C304" s="197">
        <v>458.5</v>
      </c>
      <c r="D304" s="150">
        <v>552.2</v>
      </c>
      <c r="E304" s="150">
        <f>D304*4689.89/3977.04*34.2/26.2</f>
        <v>850.0097642874683</v>
      </c>
      <c r="F304" s="150">
        <v>561.6</v>
      </c>
      <c r="G304" s="150">
        <v>623.7</v>
      </c>
      <c r="H304" s="178">
        <v>698.1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28.5">
      <c r="A305" s="103" t="s">
        <v>199</v>
      </c>
      <c r="B305" s="68" t="s">
        <v>195</v>
      </c>
      <c r="C305" s="197">
        <f>C307+C310</f>
        <v>-47.25</v>
      </c>
      <c r="D305" s="150">
        <f>D307+D310</f>
        <v>1067.393</v>
      </c>
      <c r="E305" s="150">
        <f>E307+F310</f>
        <v>1470.5</v>
      </c>
      <c r="F305" s="150">
        <v>1719.3</v>
      </c>
      <c r="G305" s="150">
        <f>G307+G310</f>
        <v>1805.8</v>
      </c>
      <c r="H305" s="198">
        <v>1874.4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5.75">
      <c r="A306" s="102" t="s">
        <v>179</v>
      </c>
      <c r="B306" s="68"/>
      <c r="C306" s="197"/>
      <c r="D306" s="150"/>
      <c r="E306" s="150"/>
      <c r="F306" s="150"/>
      <c r="G306" s="150"/>
      <c r="H306" s="178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5.75">
      <c r="A307" s="102" t="s">
        <v>200</v>
      </c>
      <c r="B307" s="68" t="s">
        <v>195</v>
      </c>
      <c r="C307" s="197">
        <v>-154.25</v>
      </c>
      <c r="D307" s="150">
        <v>858.093</v>
      </c>
      <c r="E307" s="150">
        <v>1255.4</v>
      </c>
      <c r="F307" s="150">
        <v>1497.7</v>
      </c>
      <c r="G307" s="150">
        <v>1590.5</v>
      </c>
      <c r="H307" s="198">
        <v>1652.6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5.75">
      <c r="A308" s="102" t="s">
        <v>201</v>
      </c>
      <c r="B308" s="68" t="s">
        <v>195</v>
      </c>
      <c r="C308" s="199">
        <v>2.3</v>
      </c>
      <c r="D308" s="165">
        <v>2.6</v>
      </c>
      <c r="E308" s="165">
        <v>4.9</v>
      </c>
      <c r="F308" s="166">
        <v>6.8</v>
      </c>
      <c r="G308" s="166">
        <v>8.9</v>
      </c>
      <c r="H308" s="178">
        <v>8.9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5.75">
      <c r="A309" s="103" t="s">
        <v>381</v>
      </c>
      <c r="B309" s="68" t="s">
        <v>195</v>
      </c>
      <c r="C309" s="199">
        <v>18.1</v>
      </c>
      <c r="D309" s="165">
        <v>13.6</v>
      </c>
      <c r="E309" s="165">
        <v>17.3</v>
      </c>
      <c r="F309" s="166">
        <v>16.5</v>
      </c>
      <c r="G309" s="166">
        <v>16.6</v>
      </c>
      <c r="H309" s="178">
        <v>16.6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5.75">
      <c r="A310" s="103" t="s">
        <v>382</v>
      </c>
      <c r="B310" s="68" t="s">
        <v>195</v>
      </c>
      <c r="C310" s="199">
        <v>107</v>
      </c>
      <c r="D310" s="165">
        <v>209.3</v>
      </c>
      <c r="E310" s="165">
        <v>214.5</v>
      </c>
      <c r="F310" s="166">
        <v>215.1</v>
      </c>
      <c r="G310" s="166">
        <v>215.3</v>
      </c>
      <c r="H310" s="178">
        <v>215.3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28.5">
      <c r="A311" s="103" t="s">
        <v>202</v>
      </c>
      <c r="B311" s="68" t="s">
        <v>195</v>
      </c>
      <c r="C311" s="199">
        <v>125.9</v>
      </c>
      <c r="D311" s="165">
        <v>142.6</v>
      </c>
      <c r="E311" s="165">
        <v>150.8</v>
      </c>
      <c r="F311" s="166">
        <v>151</v>
      </c>
      <c r="G311" s="166">
        <v>151</v>
      </c>
      <c r="H311" s="178">
        <v>151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15.75">
      <c r="A312" s="103" t="s">
        <v>179</v>
      </c>
      <c r="B312" s="68"/>
      <c r="C312" s="199">
        <v>2.5</v>
      </c>
      <c r="D312" s="165">
        <v>1</v>
      </c>
      <c r="E312" s="165">
        <v>2</v>
      </c>
      <c r="F312" s="166">
        <v>2</v>
      </c>
      <c r="G312" s="166">
        <v>2</v>
      </c>
      <c r="H312" s="178">
        <v>2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5.75">
      <c r="A313" s="101" t="s">
        <v>203</v>
      </c>
      <c r="B313" s="68" t="s">
        <v>195</v>
      </c>
      <c r="C313" s="199">
        <v>123.4</v>
      </c>
      <c r="D313" s="165">
        <v>141.6</v>
      </c>
      <c r="E313" s="165">
        <v>148.8</v>
      </c>
      <c r="F313" s="166">
        <v>149</v>
      </c>
      <c r="G313" s="166">
        <v>149</v>
      </c>
      <c r="H313" s="178">
        <v>149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15.75">
      <c r="A314" s="99" t="s">
        <v>204</v>
      </c>
      <c r="B314" s="68" t="s">
        <v>195</v>
      </c>
      <c r="C314" s="199">
        <v>0.7</v>
      </c>
      <c r="D314" s="165">
        <v>2.2</v>
      </c>
      <c r="E314" s="165">
        <v>2.3</v>
      </c>
      <c r="F314" s="166">
        <v>2.4</v>
      </c>
      <c r="G314" s="166">
        <v>2.4</v>
      </c>
      <c r="H314" s="178">
        <v>2.4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5.75">
      <c r="A315" s="99" t="s">
        <v>205</v>
      </c>
      <c r="B315" s="68" t="s">
        <v>195</v>
      </c>
      <c r="C315" s="199">
        <v>331</v>
      </c>
      <c r="D315" s="165">
        <v>388.7</v>
      </c>
      <c r="E315" s="165">
        <v>362.6</v>
      </c>
      <c r="F315" s="166">
        <v>367.7</v>
      </c>
      <c r="G315" s="166">
        <v>400.8</v>
      </c>
      <c r="H315" s="178">
        <v>400.8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15.75">
      <c r="A316" s="99" t="s">
        <v>206</v>
      </c>
      <c r="B316" s="68" t="s">
        <v>195</v>
      </c>
      <c r="C316" s="199">
        <v>1097.4</v>
      </c>
      <c r="D316" s="165">
        <v>719.1</v>
      </c>
      <c r="E316" s="165">
        <v>589.7</v>
      </c>
      <c r="F316" s="166">
        <v>492.9</v>
      </c>
      <c r="G316" s="166">
        <v>491.3</v>
      </c>
      <c r="H316" s="178">
        <v>491.3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15.75">
      <c r="A317" s="104" t="s">
        <v>207</v>
      </c>
      <c r="B317" s="68" t="s">
        <v>195</v>
      </c>
      <c r="C317" s="200">
        <f>C298+C300+C301-C302+C304+C305+C309+C310+C311+C314+C315+C316</f>
        <v>5566.16</v>
      </c>
      <c r="D317" s="167">
        <f>D298+D300+D301-D302+D304+D305+D309+D310+D311+D314+D315+D316</f>
        <v>9336.115000000002</v>
      </c>
      <c r="E317" s="167">
        <f>E298+E300+E301-E302+E304+E305+E309+E310+E311+E314+E315+E316</f>
        <v>11605.78123746601</v>
      </c>
      <c r="F317" s="167">
        <f>F298+F300+F301-F302+F304+F305+F309+F310+F311+F314+F315+F316</f>
        <v>12578.311993594874</v>
      </c>
      <c r="G317" s="168">
        <f>G298+G300+G301-G302+G304+G305+G309+G310+G311+G314+G315+G316</f>
        <v>13684.999999999998</v>
      </c>
      <c r="H317" s="210">
        <v>14758.5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28.5">
      <c r="A318" s="103" t="s">
        <v>208</v>
      </c>
      <c r="B318" s="68" t="s">
        <v>195</v>
      </c>
      <c r="C318" s="199">
        <v>2036.5</v>
      </c>
      <c r="D318" s="165">
        <f>D322-D319</f>
        <v>1586.4890591999995</v>
      </c>
      <c r="E318" s="165">
        <f>E322-E319</f>
        <v>1482.7096757125319</v>
      </c>
      <c r="F318" s="166">
        <v>365.4</v>
      </c>
      <c r="G318" s="166">
        <v>-473.9</v>
      </c>
      <c r="H318" s="178">
        <v>-477.2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28.5">
      <c r="A319" s="103" t="s">
        <v>209</v>
      </c>
      <c r="B319" s="68" t="s">
        <v>195</v>
      </c>
      <c r="C319" s="199">
        <v>1009.3</v>
      </c>
      <c r="D319" s="165">
        <f>D320+D321</f>
        <v>1962.4199408000002</v>
      </c>
      <c r="E319" s="165">
        <f>E320+E321</f>
        <v>2678.7913242874683</v>
      </c>
      <c r="F319" s="166">
        <f>F320+F321</f>
        <v>2628.67184</v>
      </c>
      <c r="G319" s="166">
        <f>G320+G321</f>
        <v>2788.5678</v>
      </c>
      <c r="H319" s="198">
        <v>2926.8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15.75">
      <c r="A320" s="102" t="s">
        <v>210</v>
      </c>
      <c r="B320" s="68" t="s">
        <v>195</v>
      </c>
      <c r="C320" s="199">
        <v>550.8</v>
      </c>
      <c r="D320" s="165">
        <f>D302*20/100+D303*63.24/100+D307+166.721*50/100+D313*40/100+0.3*20/100</f>
        <v>1410.2199408000001</v>
      </c>
      <c r="E320" s="165">
        <f>E302*20/100+E303*63.24/100+E307+170.948*50/100+E313*40/100+1.8*20/100</f>
        <v>1828.78156</v>
      </c>
      <c r="F320" s="165">
        <f>F302*20/100+F303*63.24/100+F307+171.63*50/100+F313*40/100+0.5*20/100</f>
        <v>2067.07184</v>
      </c>
      <c r="G320" s="165">
        <f>G302*20/100+G303*63.24/100+G307+171.8*50/100+G313*40/100+0.6*20/100</f>
        <v>2164.8678</v>
      </c>
      <c r="H320" s="198">
        <v>2228.7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28.5">
      <c r="A321" s="102" t="s">
        <v>383</v>
      </c>
      <c r="B321" s="68" t="s">
        <v>195</v>
      </c>
      <c r="C321" s="199">
        <f>C304</f>
        <v>458.5</v>
      </c>
      <c r="D321" s="165">
        <f>D304</f>
        <v>552.2</v>
      </c>
      <c r="E321" s="165">
        <f>E304</f>
        <v>850.0097642874683</v>
      </c>
      <c r="F321" s="165">
        <f>F304</f>
        <v>561.6</v>
      </c>
      <c r="G321" s="165">
        <f>G304</f>
        <v>623.7</v>
      </c>
      <c r="H321" s="178">
        <v>698.1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28.5">
      <c r="A322" s="103" t="s">
        <v>211</v>
      </c>
      <c r="B322" s="68" t="s">
        <v>195</v>
      </c>
      <c r="C322" s="199">
        <f>C323+C324</f>
        <v>3045.84</v>
      </c>
      <c r="D322" s="165">
        <f>D323+D324</f>
        <v>3548.9089999999997</v>
      </c>
      <c r="E322" s="165">
        <f>E323+E324</f>
        <v>4161.501</v>
      </c>
      <c r="F322" s="166">
        <v>2994</v>
      </c>
      <c r="G322" s="166">
        <f>G323+G324</f>
        <v>2314.674</v>
      </c>
      <c r="H322" s="198">
        <v>2449.6</v>
      </c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5.75">
      <c r="A323" s="102" t="s">
        <v>212</v>
      </c>
      <c r="B323" s="68" t="s">
        <v>195</v>
      </c>
      <c r="C323" s="197">
        <v>2265.9</v>
      </c>
      <c r="D323" s="149">
        <f>720.421+D330</f>
        <v>2497.321</v>
      </c>
      <c r="E323" s="149">
        <f>700+E330</f>
        <v>2974.7000000000003</v>
      </c>
      <c r="F323" s="149">
        <v>1722</v>
      </c>
      <c r="G323" s="149">
        <f>650+G330</f>
        <v>934.7</v>
      </c>
      <c r="H323" s="178">
        <v>990.9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15.75">
      <c r="A324" s="101" t="s">
        <v>213</v>
      </c>
      <c r="B324" s="68" t="s">
        <v>195</v>
      </c>
      <c r="C324" s="197">
        <f>598.15+1.95+97.36+82.48</f>
        <v>779.94</v>
      </c>
      <c r="D324" s="150">
        <f>2.207+109.46+52.254+887.667</f>
        <v>1051.588</v>
      </c>
      <c r="E324" s="150">
        <f>1010.922+2.2+54.36+119.319</f>
        <v>1186.801</v>
      </c>
      <c r="F324" s="150">
        <f>1099.883+2.2+39.9+130.06</f>
        <v>1272.0430000000001</v>
      </c>
      <c r="G324" s="150">
        <f>1196.672+2.2+39.342+141.76</f>
        <v>1379.9740000000002</v>
      </c>
      <c r="H324" s="198">
        <v>1458.7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ht="15.75">
      <c r="A325" s="105" t="s">
        <v>214</v>
      </c>
      <c r="B325" s="68" t="s">
        <v>195</v>
      </c>
      <c r="C325" s="200">
        <f>C317+C318</f>
        <v>7602.66</v>
      </c>
      <c r="D325" s="167">
        <f>D317+D318</f>
        <v>10922.6040592</v>
      </c>
      <c r="E325" s="167">
        <f>E317+E318</f>
        <v>13088.490913178543</v>
      </c>
      <c r="F325" s="167">
        <v>12943.6</v>
      </c>
      <c r="G325" s="168">
        <f>G317+G318</f>
        <v>13211.099999999999</v>
      </c>
      <c r="H325" s="210">
        <v>14281.3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ht="28.5">
      <c r="A326" s="98" t="s">
        <v>384</v>
      </c>
      <c r="B326" s="68"/>
      <c r="C326" s="199"/>
      <c r="D326" s="165"/>
      <c r="E326" s="165"/>
      <c r="F326" s="166"/>
      <c r="G326" s="166"/>
      <c r="H326" s="178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28.5">
      <c r="A327" s="99" t="s">
        <v>215</v>
      </c>
      <c r="B327" s="68" t="s">
        <v>195</v>
      </c>
      <c r="C327" s="199">
        <f>C298+C300-C302</f>
        <v>2908.9800000000005</v>
      </c>
      <c r="D327" s="165">
        <f>D298+D300-D302</f>
        <v>5529.219999999999</v>
      </c>
      <c r="E327" s="165">
        <f>E298+E300-E302</f>
        <v>7206.531473178543</v>
      </c>
      <c r="F327" s="165">
        <f>F298+F300-F302</f>
        <v>8314.261993594875</v>
      </c>
      <c r="G327" s="166">
        <v>9216.9</v>
      </c>
      <c r="H327" s="198">
        <v>10138.6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ht="15.75">
      <c r="A328" s="99" t="s">
        <v>179</v>
      </c>
      <c r="B328" s="68"/>
      <c r="C328" s="199"/>
      <c r="D328" s="165"/>
      <c r="E328" s="165"/>
      <c r="F328" s="166"/>
      <c r="G328" s="166"/>
      <c r="H328" s="178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15.75">
      <c r="A329" s="101" t="s">
        <v>216</v>
      </c>
      <c r="B329" s="68" t="s">
        <v>195</v>
      </c>
      <c r="C329" s="199">
        <v>876.6</v>
      </c>
      <c r="D329" s="165">
        <v>2423.2</v>
      </c>
      <c r="E329" s="165">
        <v>3697.6</v>
      </c>
      <c r="F329" s="166">
        <v>5176</v>
      </c>
      <c r="G329" s="166">
        <v>5202.1</v>
      </c>
      <c r="H329" s="198">
        <v>6188.9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ht="15.75">
      <c r="A330" s="99" t="s">
        <v>217</v>
      </c>
      <c r="B330" s="68" t="s">
        <v>195</v>
      </c>
      <c r="C330" s="199">
        <f>C332+C333</f>
        <v>1167.6</v>
      </c>
      <c r="D330" s="165">
        <f>D332+D333</f>
        <v>1776.9</v>
      </c>
      <c r="E330" s="165">
        <f>E332+E333</f>
        <v>2274.7000000000003</v>
      </c>
      <c r="F330" s="165">
        <f>F332+F333</f>
        <v>1022</v>
      </c>
      <c r="G330" s="165">
        <f>G332+G333</f>
        <v>284.7</v>
      </c>
      <c r="H330" s="178">
        <v>340.9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ht="15.75">
      <c r="A331" s="99" t="s">
        <v>218</v>
      </c>
      <c r="B331" s="68"/>
      <c r="C331" s="199"/>
      <c r="D331" s="165"/>
      <c r="E331" s="165"/>
      <c r="F331" s="166"/>
      <c r="G331" s="166"/>
      <c r="H331" s="178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ht="15.75">
      <c r="A332" s="101" t="s">
        <v>219</v>
      </c>
      <c r="B332" s="68" t="s">
        <v>195</v>
      </c>
      <c r="C332" s="199">
        <v>523.3</v>
      </c>
      <c r="D332" s="169">
        <v>25</v>
      </c>
      <c r="E332" s="165">
        <v>64.3</v>
      </c>
      <c r="F332" s="166">
        <v>31</v>
      </c>
      <c r="G332" s="166">
        <v>30</v>
      </c>
      <c r="H332" s="178">
        <v>35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ht="15.75">
      <c r="A333" s="101" t="s">
        <v>220</v>
      </c>
      <c r="B333" s="68" t="s">
        <v>195</v>
      </c>
      <c r="C333" s="199">
        <v>644.3</v>
      </c>
      <c r="D333" s="169">
        <v>1751.9</v>
      </c>
      <c r="E333" s="165">
        <v>2210.4</v>
      </c>
      <c r="F333" s="166">
        <v>991</v>
      </c>
      <c r="G333" s="166">
        <v>254.7</v>
      </c>
      <c r="H333" s="178">
        <v>305.9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ht="15.75">
      <c r="A334" s="99" t="s">
        <v>221</v>
      </c>
      <c r="B334" s="68" t="s">
        <v>195</v>
      </c>
      <c r="C334" s="199">
        <v>139.4</v>
      </c>
      <c r="D334" s="165">
        <v>149.6</v>
      </c>
      <c r="E334" s="165">
        <v>129.5</v>
      </c>
      <c r="F334" s="166">
        <v>126</v>
      </c>
      <c r="G334" s="166">
        <v>126</v>
      </c>
      <c r="H334" s="178">
        <v>126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28.5">
      <c r="A335" s="101" t="s">
        <v>222</v>
      </c>
      <c r="B335" s="68" t="s">
        <v>195</v>
      </c>
      <c r="C335" s="199">
        <v>0.002</v>
      </c>
      <c r="D335" s="165">
        <v>0.001</v>
      </c>
      <c r="E335" s="165">
        <v>0.001</v>
      </c>
      <c r="F335" s="166">
        <v>0.001</v>
      </c>
      <c r="G335" s="166">
        <v>0.001</v>
      </c>
      <c r="H335" s="178">
        <v>0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ht="15.75">
      <c r="A336" s="101" t="s">
        <v>223</v>
      </c>
      <c r="B336" s="68" t="s">
        <v>195</v>
      </c>
      <c r="C336" s="199"/>
      <c r="D336" s="165"/>
      <c r="E336" s="165"/>
      <c r="F336" s="166"/>
      <c r="G336" s="166"/>
      <c r="H336" s="178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15.75">
      <c r="A337" s="99" t="s">
        <v>224</v>
      </c>
      <c r="B337" s="68" t="s">
        <v>195</v>
      </c>
      <c r="C337" s="199">
        <v>1.6</v>
      </c>
      <c r="D337" s="165">
        <v>2</v>
      </c>
      <c r="E337" s="165">
        <v>1.8</v>
      </c>
      <c r="F337" s="166">
        <v>2.1</v>
      </c>
      <c r="G337" s="166">
        <v>2.1</v>
      </c>
      <c r="H337" s="178">
        <v>2.1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28.5">
      <c r="A338" s="99" t="s">
        <v>225</v>
      </c>
      <c r="B338" s="68" t="s">
        <v>195</v>
      </c>
      <c r="C338" s="199">
        <v>6.5</v>
      </c>
      <c r="D338" s="165">
        <f>7.4+18.1</f>
        <v>25.5</v>
      </c>
      <c r="E338" s="165">
        <f>8.4+14.7+3</f>
        <v>26.1</v>
      </c>
      <c r="F338" s="166">
        <f>2+16.8+3.1</f>
        <v>21.900000000000002</v>
      </c>
      <c r="G338" s="166">
        <f>2+17.3+3.2</f>
        <v>22.5</v>
      </c>
      <c r="H338" s="178">
        <v>23.9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5.75">
      <c r="A339" s="99" t="s">
        <v>226</v>
      </c>
      <c r="B339" s="68" t="s">
        <v>195</v>
      </c>
      <c r="C339" s="199">
        <v>53.9</v>
      </c>
      <c r="D339" s="165">
        <v>74</v>
      </c>
      <c r="E339" s="165">
        <v>35.9</v>
      </c>
      <c r="F339" s="166">
        <v>22.9</v>
      </c>
      <c r="G339" s="166">
        <v>28</v>
      </c>
      <c r="H339" s="178">
        <v>28</v>
      </c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15.75">
      <c r="A340" s="99" t="s">
        <v>227</v>
      </c>
      <c r="B340" s="68" t="s">
        <v>195</v>
      </c>
      <c r="C340" s="199">
        <v>300.1</v>
      </c>
      <c r="D340" s="165">
        <f>306.1+7.9</f>
        <v>314</v>
      </c>
      <c r="E340" s="165">
        <f>134+8.6+24.444+51.272+48.328+97.736+100.95</f>
        <v>465.33</v>
      </c>
      <c r="F340" s="166">
        <f>129.7+9.3+20.87+51.272*1.06+48.328*1.06+97.736*1.06+100.95*1.06</f>
        <v>476.05316000000005</v>
      </c>
      <c r="G340" s="166">
        <f>130+10.1+50.7+51.272*1.06*1.05+48.328*1.06*1.05+97.736*1.06*1.05+100.95*1.06*1.05</f>
        <v>522.792318</v>
      </c>
      <c r="H340" s="178">
        <v>545.8</v>
      </c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5.75">
      <c r="A341" s="99" t="s">
        <v>228</v>
      </c>
      <c r="B341" s="68" t="s">
        <v>195</v>
      </c>
      <c r="C341" s="199">
        <v>0.3</v>
      </c>
      <c r="D341" s="165">
        <v>0.5</v>
      </c>
      <c r="E341" s="165">
        <v>0.6</v>
      </c>
      <c r="F341" s="166">
        <v>0.6</v>
      </c>
      <c r="G341" s="166">
        <v>0.6</v>
      </c>
      <c r="H341" s="178">
        <v>0.7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5.75">
      <c r="A342" s="99" t="s">
        <v>229</v>
      </c>
      <c r="B342" s="68" t="s">
        <v>195</v>
      </c>
      <c r="C342" s="199">
        <f>C344+C345+C346+C347</f>
        <v>1709.2000000000003</v>
      </c>
      <c r="D342" s="165">
        <f>D344+D345+D346+D347</f>
        <v>3749.4549</v>
      </c>
      <c r="E342" s="165">
        <f>E344+E345+E346+E347</f>
        <v>4467.6745</v>
      </c>
      <c r="F342" s="166">
        <f>F344+F345+F346+F347</f>
        <v>3316.19344</v>
      </c>
      <c r="G342" s="166">
        <v>2646.5</v>
      </c>
      <c r="H342" s="198">
        <v>2824.8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5.75">
      <c r="A343" s="101" t="s">
        <v>179</v>
      </c>
      <c r="B343" s="68"/>
      <c r="C343" s="199"/>
      <c r="D343" s="165"/>
      <c r="E343" s="165"/>
      <c r="F343" s="166"/>
      <c r="G343" s="166"/>
      <c r="H343" s="178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5.75">
      <c r="A344" s="101" t="s">
        <v>230</v>
      </c>
      <c r="B344" s="68" t="s">
        <v>195</v>
      </c>
      <c r="C344" s="199">
        <v>448.7</v>
      </c>
      <c r="D344" s="165">
        <f>453.4+12.4</f>
        <v>465.79999999999995</v>
      </c>
      <c r="E344" s="165">
        <f>448.9+37.1</f>
        <v>486</v>
      </c>
      <c r="F344" s="166">
        <f>448.9*1.02+38.8</f>
        <v>496.678</v>
      </c>
      <c r="G344" s="166">
        <f>448.9*1.02*1.01+42</f>
        <v>504.45678</v>
      </c>
      <c r="H344" s="178">
        <v>512.8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28.5">
      <c r="A345" s="101" t="s">
        <v>231</v>
      </c>
      <c r="B345" s="68" t="s">
        <v>195</v>
      </c>
      <c r="C345" s="199">
        <v>87</v>
      </c>
      <c r="D345" s="165">
        <f>111.1</f>
        <v>111.1</v>
      </c>
      <c r="E345" s="165">
        <f>92.6+20</f>
        <v>112.6</v>
      </c>
      <c r="F345" s="166">
        <f>E345*1.02</f>
        <v>114.85199999999999</v>
      </c>
      <c r="G345" s="166">
        <v>118.3</v>
      </c>
      <c r="H345" s="178">
        <v>120.7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5.75">
      <c r="A346" s="101" t="s">
        <v>232</v>
      </c>
      <c r="B346" s="68" t="s">
        <v>195</v>
      </c>
      <c r="C346" s="199">
        <v>81.1</v>
      </c>
      <c r="D346" s="165">
        <f>83.4+21.6+52.2549</f>
        <v>157.2549</v>
      </c>
      <c r="E346" s="165">
        <f>87.8+36.1+54.3605</f>
        <v>178.2605</v>
      </c>
      <c r="F346" s="166">
        <f>91.1+37.5+39.9006</f>
        <v>168.5006</v>
      </c>
      <c r="G346" s="166">
        <f>102.4+36+39.342</f>
        <v>177.74200000000002</v>
      </c>
      <c r="H346" s="178">
        <v>181.5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15.75">
      <c r="A347" s="101" t="s">
        <v>233</v>
      </c>
      <c r="B347" s="68" t="s">
        <v>195</v>
      </c>
      <c r="C347" s="199">
        <f>C349+C350+C351+C352+C353+C354</f>
        <v>1092.4</v>
      </c>
      <c r="D347" s="165">
        <f>D349+D350+D351+D352+D353+D354</f>
        <v>3015.3</v>
      </c>
      <c r="E347" s="165">
        <f>E349+E350+E351+E352+E353+E354</f>
        <v>3690.8140000000003</v>
      </c>
      <c r="F347" s="166">
        <f>F349+F350+F351+F352+F353+F354</f>
        <v>2536.16284</v>
      </c>
      <c r="G347" s="166">
        <f>G349+G350+G351+G352+G353+G354</f>
        <v>1846.03</v>
      </c>
      <c r="H347" s="198">
        <v>2009.9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15.75">
      <c r="A348" s="106" t="s">
        <v>122</v>
      </c>
      <c r="B348" s="68"/>
      <c r="C348" s="199"/>
      <c r="D348" s="165"/>
      <c r="E348" s="165"/>
      <c r="F348" s="166"/>
      <c r="G348" s="166"/>
      <c r="H348" s="178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ht="15.75">
      <c r="A349" s="106" t="s">
        <v>234</v>
      </c>
      <c r="B349" s="68" t="s">
        <v>195</v>
      </c>
      <c r="C349" s="199">
        <v>656.9</v>
      </c>
      <c r="D349" s="165">
        <v>959.3</v>
      </c>
      <c r="E349" s="165">
        <v>1089</v>
      </c>
      <c r="F349" s="166">
        <v>1182.6</v>
      </c>
      <c r="G349" s="166">
        <v>1285.2</v>
      </c>
      <c r="H349" s="198">
        <v>1395.7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ht="15.75">
      <c r="A350" s="106" t="s">
        <v>235</v>
      </c>
      <c r="B350" s="68" t="s">
        <v>195</v>
      </c>
      <c r="C350" s="199">
        <v>18.1</v>
      </c>
      <c r="D350" s="165">
        <v>18.8</v>
      </c>
      <c r="E350" s="165">
        <f>D350*1.02</f>
        <v>19.176000000000002</v>
      </c>
      <c r="F350" s="166">
        <f>E350*1.01</f>
        <v>19.36776</v>
      </c>
      <c r="G350" s="166">
        <v>19.6</v>
      </c>
      <c r="H350" s="178">
        <v>19.8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ht="15.75">
      <c r="A351" s="106" t="s">
        <v>236</v>
      </c>
      <c r="B351" s="68" t="s">
        <v>195</v>
      </c>
      <c r="C351" s="199">
        <v>402.5</v>
      </c>
      <c r="D351" s="165">
        <v>485.1</v>
      </c>
      <c r="E351" s="165">
        <v>474.3</v>
      </c>
      <c r="F351" s="166">
        <v>469.4</v>
      </c>
      <c r="G351" s="166">
        <v>485.7</v>
      </c>
      <c r="H351" s="178">
        <v>502.9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ht="22.5" customHeight="1">
      <c r="A352" s="106" t="s">
        <v>237</v>
      </c>
      <c r="B352" s="68" t="s">
        <v>195</v>
      </c>
      <c r="C352" s="199">
        <v>14.9</v>
      </c>
      <c r="D352" s="165">
        <v>15.4</v>
      </c>
      <c r="E352" s="165">
        <f>D352*1.02</f>
        <v>15.708</v>
      </c>
      <c r="F352" s="166">
        <f>E352*1.01</f>
        <v>15.86508</v>
      </c>
      <c r="G352" s="166">
        <v>16</v>
      </c>
      <c r="H352" s="178">
        <v>16.2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ht="15.75">
      <c r="A353" s="106" t="s">
        <v>238</v>
      </c>
      <c r="B353" s="68" t="s">
        <v>195</v>
      </c>
      <c r="C353" s="199"/>
      <c r="D353" s="165"/>
      <c r="E353" s="165"/>
      <c r="F353" s="166"/>
      <c r="G353" s="166"/>
      <c r="H353" s="178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15.75">
      <c r="A354" s="99" t="s">
        <v>239</v>
      </c>
      <c r="B354" s="68" t="s">
        <v>195</v>
      </c>
      <c r="C354" s="199"/>
      <c r="D354" s="165">
        <f>1522.3+1+1.3+1+2.2+8.9</f>
        <v>1536.7</v>
      </c>
      <c r="E354" s="165">
        <f>1.5+10+1.43+4+2014+1.3+14.6+45.8</f>
        <v>2092.63</v>
      </c>
      <c r="F354" s="166">
        <f>2+5+4+1.53+815.1+1.3+14.1+5.9</f>
        <v>848.93</v>
      </c>
      <c r="G354" s="166">
        <f>2.5+5+1.53+4+0.5+5+14.1+1+5.9</f>
        <v>39.53</v>
      </c>
      <c r="H354" s="178">
        <v>75.3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15.75">
      <c r="A355" s="104" t="s">
        <v>240</v>
      </c>
      <c r="B355" s="68" t="s">
        <v>195</v>
      </c>
      <c r="C355" s="199">
        <f>C327+C330+C334+C337+C338+C339+C340+C341+C342+C354</f>
        <v>6287.580000000002</v>
      </c>
      <c r="D355" s="165">
        <f>D327+D330+D334+D337+D338+D339+D340+D341+D342+D354</f>
        <v>13157.8749</v>
      </c>
      <c r="E355" s="165">
        <f>E327+E330+E334+E337+E338+E339+E340+E341+E342+E354</f>
        <v>16700.765973178542</v>
      </c>
      <c r="F355" s="166">
        <f>F327+F330+F334+F337+F338+F339+F340+F341+F342+F354</f>
        <v>14150.938593594874</v>
      </c>
      <c r="G355" s="166">
        <v>12889.7</v>
      </c>
      <c r="H355" s="198">
        <v>14106.2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28.5">
      <c r="A356" s="99" t="s">
        <v>241</v>
      </c>
      <c r="B356" s="68" t="s">
        <v>195</v>
      </c>
      <c r="C356" s="200">
        <f>C325-C355</f>
        <v>1315.079999999998</v>
      </c>
      <c r="D356" s="167">
        <f>D325-D355</f>
        <v>-2235.2708408</v>
      </c>
      <c r="E356" s="167">
        <f>E325-E355</f>
        <v>-3612.27506</v>
      </c>
      <c r="F356" s="168">
        <f>F325-F355</f>
        <v>-1207.3385935948736</v>
      </c>
      <c r="G356" s="168">
        <f>G325-G355</f>
        <v>321.3999999999978</v>
      </c>
      <c r="H356" s="211">
        <v>175.1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15.75">
      <c r="A357" s="93" t="s">
        <v>242</v>
      </c>
      <c r="B357" s="65"/>
      <c r="C357" s="177"/>
      <c r="D357" s="151"/>
      <c r="E357" s="151"/>
      <c r="F357" s="151"/>
      <c r="G357" s="151"/>
      <c r="H357" s="178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5.75">
      <c r="A358" s="93" t="s">
        <v>243</v>
      </c>
      <c r="B358" s="65" t="s">
        <v>195</v>
      </c>
      <c r="C358" s="177">
        <v>5898.3</v>
      </c>
      <c r="D358" s="151">
        <v>7007.9</v>
      </c>
      <c r="E358" s="153">
        <v>8167</v>
      </c>
      <c r="F358" s="151">
        <v>9215.4</v>
      </c>
      <c r="G358" s="153">
        <v>10408</v>
      </c>
      <c r="H358" s="185">
        <v>11848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15.75">
      <c r="A359" s="90" t="s">
        <v>122</v>
      </c>
      <c r="B359" s="65"/>
      <c r="C359" s="201">
        <v>0.98</v>
      </c>
      <c r="D359" s="170">
        <v>1.19</v>
      </c>
      <c r="E359" s="170">
        <v>1.17</v>
      </c>
      <c r="F359" s="170">
        <v>1.13</v>
      </c>
      <c r="G359" s="170">
        <v>1.13</v>
      </c>
      <c r="H359" s="202">
        <v>1.14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5.75">
      <c r="A360" s="91" t="s">
        <v>244</v>
      </c>
      <c r="B360" s="65" t="s">
        <v>195</v>
      </c>
      <c r="C360" s="177">
        <v>370</v>
      </c>
      <c r="D360" s="151">
        <v>439</v>
      </c>
      <c r="E360" s="151">
        <v>504</v>
      </c>
      <c r="F360" s="151">
        <v>579</v>
      </c>
      <c r="G360" s="151">
        <v>667</v>
      </c>
      <c r="H360" s="178">
        <v>767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15.75">
      <c r="A361" s="91" t="s">
        <v>245</v>
      </c>
      <c r="B361" s="65" t="s">
        <v>195</v>
      </c>
      <c r="C361" s="184">
        <v>3473</v>
      </c>
      <c r="D361" s="153">
        <v>4002.5</v>
      </c>
      <c r="E361" s="153">
        <v>4891.7</v>
      </c>
      <c r="F361" s="153">
        <v>5625.5</v>
      </c>
      <c r="G361" s="153">
        <v>6525.2</v>
      </c>
      <c r="H361" s="185">
        <v>7635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5.75">
      <c r="A362" s="91" t="s">
        <v>246</v>
      </c>
      <c r="B362" s="65" t="s">
        <v>195</v>
      </c>
      <c r="C362" s="177">
        <v>1096.5</v>
      </c>
      <c r="D362" s="151">
        <v>1447.4</v>
      </c>
      <c r="E362" s="151">
        <v>1563.2</v>
      </c>
      <c r="F362" s="151">
        <v>1709.3</v>
      </c>
      <c r="G362" s="151">
        <v>1863.9</v>
      </c>
      <c r="H362" s="178">
        <v>2026.4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15.75">
      <c r="A363" s="91" t="s">
        <v>247</v>
      </c>
      <c r="B363" s="65" t="s">
        <v>195</v>
      </c>
      <c r="C363" s="177">
        <v>697.8</v>
      </c>
      <c r="D363" s="151">
        <v>959.3</v>
      </c>
      <c r="E363" s="151">
        <v>1088.9</v>
      </c>
      <c r="F363" s="151">
        <v>1182.6</v>
      </c>
      <c r="G363" s="151">
        <v>1285.2</v>
      </c>
      <c r="H363" s="178">
        <v>1395.7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5.75">
      <c r="A364" s="91" t="s">
        <v>248</v>
      </c>
      <c r="B364" s="65" t="s">
        <v>195</v>
      </c>
      <c r="C364" s="177">
        <v>394</v>
      </c>
      <c r="D364" s="151">
        <v>483</v>
      </c>
      <c r="E364" s="151">
        <v>469</v>
      </c>
      <c r="F364" s="151">
        <v>521</v>
      </c>
      <c r="G364" s="151">
        <v>573</v>
      </c>
      <c r="H364" s="178">
        <v>625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15.75">
      <c r="A365" s="91" t="s">
        <v>249</v>
      </c>
      <c r="B365" s="65" t="s">
        <v>195</v>
      </c>
      <c r="C365" s="181"/>
      <c r="D365" s="155"/>
      <c r="E365" s="155"/>
      <c r="F365" s="155"/>
      <c r="G365" s="155"/>
      <c r="H365" s="182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15.75">
      <c r="A366" s="91" t="s">
        <v>250</v>
      </c>
      <c r="B366" s="65" t="s">
        <v>195</v>
      </c>
      <c r="C366" s="177">
        <v>4.7</v>
      </c>
      <c r="D366" s="151">
        <v>5</v>
      </c>
      <c r="E366" s="151">
        <v>5.3</v>
      </c>
      <c r="F366" s="151">
        <v>5.7</v>
      </c>
      <c r="G366" s="151">
        <v>5.7</v>
      </c>
      <c r="H366" s="178">
        <v>5.7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42.75">
      <c r="A367" s="91" t="s">
        <v>251</v>
      </c>
      <c r="B367" s="65" t="s">
        <v>195</v>
      </c>
      <c r="C367" s="177">
        <v>140</v>
      </c>
      <c r="D367" s="151">
        <v>176.6</v>
      </c>
      <c r="E367" s="151">
        <v>216.6</v>
      </c>
      <c r="F367" s="151">
        <v>258.6</v>
      </c>
      <c r="G367" s="151">
        <v>265</v>
      </c>
      <c r="H367" s="178">
        <v>289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s="20" customFormat="1" ht="15.75">
      <c r="A368" s="91" t="s">
        <v>252</v>
      </c>
      <c r="B368" s="65" t="s">
        <v>195</v>
      </c>
      <c r="C368" s="177">
        <v>818.8</v>
      </c>
      <c r="D368" s="151">
        <v>942.4</v>
      </c>
      <c r="E368" s="151">
        <v>991</v>
      </c>
      <c r="F368" s="151">
        <v>1043</v>
      </c>
      <c r="G368" s="151">
        <v>1087</v>
      </c>
      <c r="H368" s="178">
        <v>1131</v>
      </c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1:21" ht="15.75">
      <c r="A369" s="89" t="s">
        <v>253</v>
      </c>
      <c r="B369" s="65" t="s">
        <v>8</v>
      </c>
      <c r="C369" s="203">
        <v>0.93</v>
      </c>
      <c r="D369" s="171">
        <v>1.13</v>
      </c>
      <c r="E369" s="171">
        <v>1.1</v>
      </c>
      <c r="F369" s="171">
        <v>1.08</v>
      </c>
      <c r="G369" s="171">
        <v>1.08</v>
      </c>
      <c r="H369" s="204">
        <v>1.1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9.5" customHeight="1">
      <c r="A370" s="89" t="s">
        <v>254</v>
      </c>
      <c r="B370" s="65" t="s">
        <v>255</v>
      </c>
      <c r="C370" s="192">
        <v>11095</v>
      </c>
      <c r="D370" s="152">
        <v>12862</v>
      </c>
      <c r="E370" s="152">
        <v>14877</v>
      </c>
      <c r="F370" s="152">
        <v>16654</v>
      </c>
      <c r="G370" s="152">
        <v>18674</v>
      </c>
      <c r="H370" s="179">
        <v>21101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5.75">
      <c r="A371" s="93" t="s">
        <v>256</v>
      </c>
      <c r="B371" s="65" t="s">
        <v>195</v>
      </c>
      <c r="C371" s="184">
        <v>3634.8</v>
      </c>
      <c r="D371" s="153">
        <v>3996.7</v>
      </c>
      <c r="E371" s="153">
        <v>4316</v>
      </c>
      <c r="F371" s="153">
        <v>4783</v>
      </c>
      <c r="G371" s="153">
        <v>5307</v>
      </c>
      <c r="H371" s="185">
        <v>5892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5.75">
      <c r="A372" s="90" t="s">
        <v>122</v>
      </c>
      <c r="B372" s="65" t="s">
        <v>257</v>
      </c>
      <c r="C372" s="201"/>
      <c r="D372" s="170">
        <v>1.1</v>
      </c>
      <c r="E372" s="170">
        <v>1.08</v>
      </c>
      <c r="F372" s="170">
        <v>1.11</v>
      </c>
      <c r="G372" s="170">
        <v>1.11</v>
      </c>
      <c r="H372" s="202">
        <v>1.11</v>
      </c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15.75">
      <c r="A373" s="91" t="s">
        <v>258</v>
      </c>
      <c r="B373" s="65" t="s">
        <v>195</v>
      </c>
      <c r="C373" s="177">
        <v>2402</v>
      </c>
      <c r="D373" s="151">
        <v>2572</v>
      </c>
      <c r="E373" s="151">
        <v>2851</v>
      </c>
      <c r="F373" s="151">
        <v>3161</v>
      </c>
      <c r="G373" s="151">
        <v>3529</v>
      </c>
      <c r="H373" s="178">
        <v>3960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5.75">
      <c r="A374" s="107" t="s">
        <v>179</v>
      </c>
      <c r="B374" s="65"/>
      <c r="C374" s="177"/>
      <c r="D374" s="151"/>
      <c r="E374" s="151"/>
      <c r="F374" s="151"/>
      <c r="G374" s="151"/>
      <c r="H374" s="178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5.75">
      <c r="A375" s="96" t="s">
        <v>373</v>
      </c>
      <c r="B375" s="65" t="s">
        <v>195</v>
      </c>
      <c r="C375" s="177">
        <v>1953</v>
      </c>
      <c r="D375" s="151">
        <v>2116</v>
      </c>
      <c r="E375" s="151">
        <v>2337</v>
      </c>
      <c r="F375" s="151">
        <v>2581</v>
      </c>
      <c r="G375" s="151">
        <v>2872</v>
      </c>
      <c r="H375" s="178">
        <v>3213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15.75">
      <c r="A376" s="96" t="s">
        <v>372</v>
      </c>
      <c r="B376" s="65" t="s">
        <v>195</v>
      </c>
      <c r="C376" s="177">
        <f aca="true" t="shared" si="6" ref="C376:H376">C373-C375</f>
        <v>449</v>
      </c>
      <c r="D376" s="151">
        <f t="shared" si="6"/>
        <v>456</v>
      </c>
      <c r="E376" s="151">
        <f t="shared" si="6"/>
        <v>514</v>
      </c>
      <c r="F376" s="151">
        <f t="shared" si="6"/>
        <v>580</v>
      </c>
      <c r="G376" s="151">
        <f t="shared" si="6"/>
        <v>657</v>
      </c>
      <c r="H376" s="178">
        <f t="shared" si="6"/>
        <v>747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 ht="15.75">
      <c r="A377" s="91" t="s">
        <v>259</v>
      </c>
      <c r="B377" s="65" t="s">
        <v>195</v>
      </c>
      <c r="C377" s="177">
        <v>832.3</v>
      </c>
      <c r="D377" s="151">
        <v>942.8</v>
      </c>
      <c r="E377" s="151">
        <v>976.7</v>
      </c>
      <c r="F377" s="151">
        <v>1032.4</v>
      </c>
      <c r="G377" s="153">
        <v>1087</v>
      </c>
      <c r="H377" s="185">
        <v>1140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 ht="28.5">
      <c r="A378" s="91" t="s">
        <v>260</v>
      </c>
      <c r="B378" s="65" t="s">
        <v>195</v>
      </c>
      <c r="C378" s="177">
        <v>400.4</v>
      </c>
      <c r="D378" s="151">
        <v>481.8</v>
      </c>
      <c r="E378" s="151">
        <v>488.8</v>
      </c>
      <c r="F378" s="153">
        <v>589.6</v>
      </c>
      <c r="G378" s="153">
        <v>691</v>
      </c>
      <c r="H378" s="185">
        <v>792</v>
      </c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ht="28.5">
      <c r="A379" s="89" t="s">
        <v>261</v>
      </c>
      <c r="B379" s="65" t="s">
        <v>195</v>
      </c>
      <c r="C379" s="184">
        <v>2263.5</v>
      </c>
      <c r="D379" s="153">
        <v>3011</v>
      </c>
      <c r="E379" s="153">
        <v>3851</v>
      </c>
      <c r="F379" s="153">
        <v>4443</v>
      </c>
      <c r="G379" s="153">
        <v>5101</v>
      </c>
      <c r="H379" s="185">
        <v>5956</v>
      </c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 ht="15.75">
      <c r="A380" s="89" t="s">
        <v>262</v>
      </c>
      <c r="B380" s="65" t="s">
        <v>263</v>
      </c>
      <c r="C380" s="192">
        <v>6835</v>
      </c>
      <c r="D380" s="152">
        <v>7335</v>
      </c>
      <c r="E380" s="152">
        <v>7863</v>
      </c>
      <c r="F380" s="152">
        <v>8643</v>
      </c>
      <c r="G380" s="152">
        <v>9522</v>
      </c>
      <c r="H380" s="179">
        <v>10493</v>
      </c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 ht="42.75">
      <c r="A381" s="89" t="s">
        <v>264</v>
      </c>
      <c r="B381" s="65" t="s">
        <v>263</v>
      </c>
      <c r="C381" s="184">
        <v>5821.1</v>
      </c>
      <c r="D381" s="153">
        <v>7117.6</v>
      </c>
      <c r="E381" s="153">
        <v>7789.3</v>
      </c>
      <c r="F381" s="153">
        <v>8490.3</v>
      </c>
      <c r="G381" s="153">
        <v>9254.4</v>
      </c>
      <c r="H381" s="185">
        <v>10087.3</v>
      </c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 ht="15.75">
      <c r="A382" s="93" t="s">
        <v>266</v>
      </c>
      <c r="B382" s="65"/>
      <c r="C382" s="177"/>
      <c r="D382" s="151"/>
      <c r="E382" s="151"/>
      <c r="F382" s="151"/>
      <c r="G382" s="151"/>
      <c r="H382" s="178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ht="15.75">
      <c r="A383" s="89" t="s">
        <v>267</v>
      </c>
      <c r="B383" s="65" t="s">
        <v>7</v>
      </c>
      <c r="C383" s="177">
        <v>28.41</v>
      </c>
      <c r="D383" s="151">
        <v>27.99</v>
      </c>
      <c r="E383" s="151">
        <v>27.94</v>
      </c>
      <c r="F383" s="151">
        <v>27.95</v>
      </c>
      <c r="G383" s="151">
        <v>27.95</v>
      </c>
      <c r="H383" s="178">
        <v>27.95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ht="28.5">
      <c r="A384" s="89" t="s">
        <v>268</v>
      </c>
      <c r="B384" s="65" t="s">
        <v>7</v>
      </c>
      <c r="C384" s="205">
        <v>21.3</v>
      </c>
      <c r="D384" s="172">
        <v>22.296</v>
      </c>
      <c r="E384" s="172">
        <v>23.04</v>
      </c>
      <c r="F384" s="172">
        <v>23.853</v>
      </c>
      <c r="G384" s="172">
        <v>23.853</v>
      </c>
      <c r="H384" s="206">
        <v>24.153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 ht="28.5">
      <c r="A385" s="89" t="s">
        <v>269</v>
      </c>
      <c r="B385" s="65" t="s">
        <v>257</v>
      </c>
      <c r="C385" s="177"/>
      <c r="D385" s="151"/>
      <c r="E385" s="151"/>
      <c r="F385" s="151"/>
      <c r="G385" s="151"/>
      <c r="H385" s="178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ht="28.5">
      <c r="A386" s="91" t="s">
        <v>270</v>
      </c>
      <c r="B386" s="65" t="s">
        <v>7</v>
      </c>
      <c r="C386" s="177">
        <v>3.693</v>
      </c>
      <c r="D386" s="151">
        <v>4.214</v>
      </c>
      <c r="E386" s="151">
        <v>4.214</v>
      </c>
      <c r="F386" s="151">
        <v>4.214</v>
      </c>
      <c r="G386" s="151">
        <v>4.214</v>
      </c>
      <c r="H386" s="178">
        <v>4.214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 ht="28.5">
      <c r="A387" s="91" t="s">
        <v>271</v>
      </c>
      <c r="B387" s="65" t="s">
        <v>7</v>
      </c>
      <c r="C387" s="205">
        <v>0.003</v>
      </c>
      <c r="D387" s="172">
        <v>0</v>
      </c>
      <c r="E387" s="172">
        <v>0</v>
      </c>
      <c r="F387" s="172">
        <v>0</v>
      </c>
      <c r="G387" s="172">
        <v>0</v>
      </c>
      <c r="H387" s="206">
        <v>0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 ht="28.5">
      <c r="A388" s="91" t="s">
        <v>346</v>
      </c>
      <c r="B388" s="65" t="s">
        <v>7</v>
      </c>
      <c r="C388" s="181">
        <v>0.936</v>
      </c>
      <c r="D388" s="155">
        <v>0.982</v>
      </c>
      <c r="E388" s="155">
        <v>1.126</v>
      </c>
      <c r="F388" s="155">
        <v>1.139</v>
      </c>
      <c r="G388" s="155">
        <v>1.139</v>
      </c>
      <c r="H388" s="182">
        <v>1.139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ht="28.5">
      <c r="A389" s="91" t="s">
        <v>347</v>
      </c>
      <c r="B389" s="65" t="s">
        <v>7</v>
      </c>
      <c r="C389" s="177">
        <v>0.265</v>
      </c>
      <c r="D389" s="172">
        <v>0</v>
      </c>
      <c r="E389" s="172">
        <v>0</v>
      </c>
      <c r="F389" s="172">
        <v>0</v>
      </c>
      <c r="G389" s="172">
        <v>0</v>
      </c>
      <c r="H389" s="206">
        <v>0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 ht="15.75">
      <c r="A390" s="91" t="s">
        <v>272</v>
      </c>
      <c r="B390" s="65" t="s">
        <v>7</v>
      </c>
      <c r="C390" s="177">
        <v>16.7</v>
      </c>
      <c r="D390" s="151">
        <v>17.1</v>
      </c>
      <c r="E390" s="151">
        <v>17.7</v>
      </c>
      <c r="F390" s="151">
        <v>18.5</v>
      </c>
      <c r="G390" s="151">
        <v>18.5</v>
      </c>
      <c r="H390" s="178">
        <v>18.8</v>
      </c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 ht="15.75">
      <c r="A391" s="107" t="s">
        <v>273</v>
      </c>
      <c r="B391" s="65" t="s">
        <v>257</v>
      </c>
      <c r="C391" s="177"/>
      <c r="D391" s="151"/>
      <c r="E391" s="151"/>
      <c r="F391" s="151"/>
      <c r="G391" s="151"/>
      <c r="H391" s="178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 ht="28.5">
      <c r="A392" s="96" t="s">
        <v>274</v>
      </c>
      <c r="B392" s="65" t="s">
        <v>7</v>
      </c>
      <c r="C392" s="177">
        <v>0.2</v>
      </c>
      <c r="D392" s="151">
        <v>0.2</v>
      </c>
      <c r="E392" s="151">
        <v>0.2</v>
      </c>
      <c r="F392" s="151">
        <v>0.2</v>
      </c>
      <c r="G392" s="151">
        <v>0.2</v>
      </c>
      <c r="H392" s="178">
        <v>0.2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 ht="15.75">
      <c r="A393" s="96" t="s">
        <v>275</v>
      </c>
      <c r="B393" s="65" t="s">
        <v>7</v>
      </c>
      <c r="C393" s="177">
        <v>12.5</v>
      </c>
      <c r="D393" s="151">
        <v>13.2</v>
      </c>
      <c r="E393" s="151">
        <v>13.8</v>
      </c>
      <c r="F393" s="151">
        <v>14.6</v>
      </c>
      <c r="G393" s="151">
        <v>14.6</v>
      </c>
      <c r="H393" s="178">
        <v>14.9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 ht="57">
      <c r="A394" s="96" t="s">
        <v>276</v>
      </c>
      <c r="B394" s="65" t="s">
        <v>7</v>
      </c>
      <c r="C394" s="177">
        <v>3.6</v>
      </c>
      <c r="D394" s="151">
        <v>3.7</v>
      </c>
      <c r="E394" s="151">
        <v>3.7</v>
      </c>
      <c r="F394" s="151">
        <v>3.7</v>
      </c>
      <c r="G394" s="151">
        <v>3.7</v>
      </c>
      <c r="H394" s="178">
        <v>3.7</v>
      </c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 ht="28.5">
      <c r="A395" s="89" t="s">
        <v>277</v>
      </c>
      <c r="B395" s="65" t="s">
        <v>7</v>
      </c>
      <c r="C395" s="177">
        <v>1.2</v>
      </c>
      <c r="D395" s="151">
        <v>1.2</v>
      </c>
      <c r="E395" s="151">
        <v>1.1</v>
      </c>
      <c r="F395" s="151">
        <v>1.1</v>
      </c>
      <c r="G395" s="151">
        <v>1.1</v>
      </c>
      <c r="H395" s="178">
        <v>1.1</v>
      </c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 ht="28.5">
      <c r="A396" s="89" t="s">
        <v>278</v>
      </c>
      <c r="B396" s="65" t="s">
        <v>7</v>
      </c>
      <c r="C396" s="177">
        <v>5.5</v>
      </c>
      <c r="D396" s="151">
        <v>4.5</v>
      </c>
      <c r="E396" s="151">
        <v>3.8</v>
      </c>
      <c r="F396" s="153">
        <v>3</v>
      </c>
      <c r="G396" s="153">
        <v>3</v>
      </c>
      <c r="H396" s="185">
        <v>2.7</v>
      </c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 ht="15.75">
      <c r="A397" s="89" t="s">
        <v>279</v>
      </c>
      <c r="B397" s="65" t="s">
        <v>265</v>
      </c>
      <c r="C397" s="177">
        <v>3.5</v>
      </c>
      <c r="D397" s="151">
        <v>2.4</v>
      </c>
      <c r="E397" s="151">
        <v>2.3</v>
      </c>
      <c r="F397" s="151">
        <v>2.27</v>
      </c>
      <c r="G397" s="151">
        <v>2.22</v>
      </c>
      <c r="H397" s="178">
        <v>2.15</v>
      </c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 ht="28.5">
      <c r="A398" s="89" t="s">
        <v>280</v>
      </c>
      <c r="B398" s="65" t="s">
        <v>7</v>
      </c>
      <c r="C398" s="205">
        <v>0.977</v>
      </c>
      <c r="D398" s="172">
        <v>0.664</v>
      </c>
      <c r="E398" s="172">
        <v>0.65</v>
      </c>
      <c r="F398" s="172">
        <v>0.64</v>
      </c>
      <c r="G398" s="172">
        <v>0.62</v>
      </c>
      <c r="H398" s="206">
        <v>0.6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 ht="42.75">
      <c r="A399" s="89" t="s">
        <v>281</v>
      </c>
      <c r="B399" s="65" t="s">
        <v>282</v>
      </c>
      <c r="C399" s="181">
        <v>12</v>
      </c>
      <c r="D399" s="155">
        <v>6</v>
      </c>
      <c r="E399" s="155">
        <v>3</v>
      </c>
      <c r="F399" s="155">
        <v>3</v>
      </c>
      <c r="G399" s="155">
        <v>3</v>
      </c>
      <c r="H399" s="182">
        <v>2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 ht="14.25" customHeight="1">
      <c r="A400" s="89" t="s">
        <v>283</v>
      </c>
      <c r="B400" s="65" t="s">
        <v>7</v>
      </c>
      <c r="C400" s="183">
        <v>15.91</v>
      </c>
      <c r="D400" s="154">
        <v>16.66</v>
      </c>
      <c r="E400" s="154">
        <v>17.3</v>
      </c>
      <c r="F400" s="154">
        <v>18.07</v>
      </c>
      <c r="G400" s="154">
        <v>18.14</v>
      </c>
      <c r="H400" s="180">
        <v>18.39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 ht="15.75">
      <c r="A401" s="89" t="s">
        <v>284</v>
      </c>
      <c r="B401" s="65" t="s">
        <v>285</v>
      </c>
      <c r="C401" s="177">
        <v>3452.15</v>
      </c>
      <c r="D401" s="151">
        <v>3977.03</v>
      </c>
      <c r="E401" s="151">
        <v>4689.89</v>
      </c>
      <c r="F401" s="151">
        <v>5299.02</v>
      </c>
      <c r="G401" s="151">
        <v>5885.24</v>
      </c>
      <c r="H401" s="178">
        <v>6586.62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 ht="15.75">
      <c r="A402" s="89" t="s">
        <v>286</v>
      </c>
      <c r="B402" s="65" t="s">
        <v>285</v>
      </c>
      <c r="C402" s="177">
        <v>81.4</v>
      </c>
      <c r="D402" s="151">
        <v>60.1</v>
      </c>
      <c r="E402" s="151">
        <v>81.4</v>
      </c>
      <c r="F402" s="151">
        <v>84.2</v>
      </c>
      <c r="G402" s="151">
        <v>86.1</v>
      </c>
      <c r="H402" s="178">
        <v>89.4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ht="15.75">
      <c r="A403" s="93" t="s">
        <v>287</v>
      </c>
      <c r="B403" s="65"/>
      <c r="C403" s="177"/>
      <c r="D403" s="151"/>
      <c r="E403" s="151"/>
      <c r="F403" s="151"/>
      <c r="G403" s="151"/>
      <c r="H403" s="178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ht="28.5">
      <c r="A404" s="89" t="s">
        <v>288</v>
      </c>
      <c r="B404" s="65" t="s">
        <v>289</v>
      </c>
      <c r="C404" s="177">
        <v>1.283</v>
      </c>
      <c r="D404" s="151">
        <v>1.33</v>
      </c>
      <c r="E404" s="151">
        <v>1.63</v>
      </c>
      <c r="F404" s="151">
        <v>1.74</v>
      </c>
      <c r="G404" s="151">
        <v>1.74</v>
      </c>
      <c r="H404" s="178">
        <v>1.905</v>
      </c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ht="15.75">
      <c r="A405" s="93" t="s">
        <v>290</v>
      </c>
      <c r="B405" s="65"/>
      <c r="C405" s="177"/>
      <c r="D405" s="151"/>
      <c r="E405" s="151"/>
      <c r="F405" s="151"/>
      <c r="G405" s="151"/>
      <c r="H405" s="178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ht="15.75">
      <c r="A406" s="91" t="s">
        <v>291</v>
      </c>
      <c r="B406" s="65" t="s">
        <v>282</v>
      </c>
      <c r="C406" s="177">
        <v>4126</v>
      </c>
      <c r="D406" s="151">
        <v>4135</v>
      </c>
      <c r="E406" s="151">
        <v>4098</v>
      </c>
      <c r="F406" s="151">
        <v>4038</v>
      </c>
      <c r="G406" s="151">
        <v>4038</v>
      </c>
      <c r="H406" s="178">
        <v>4038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 ht="15.75">
      <c r="A407" s="91" t="s">
        <v>292</v>
      </c>
      <c r="B407" s="65" t="s">
        <v>289</v>
      </c>
      <c r="C407" s="177"/>
      <c r="D407" s="151"/>
      <c r="E407" s="151"/>
      <c r="F407" s="151"/>
      <c r="G407" s="151"/>
      <c r="H407" s="178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 ht="15.75">
      <c r="A408" s="91" t="s">
        <v>293</v>
      </c>
      <c r="B408" s="65" t="s">
        <v>289</v>
      </c>
      <c r="C408" s="177">
        <v>0.7</v>
      </c>
      <c r="D408" s="151">
        <v>0.7</v>
      </c>
      <c r="E408" s="151">
        <v>0.5</v>
      </c>
      <c r="F408" s="151">
        <v>0.6</v>
      </c>
      <c r="G408" s="151">
        <v>0.6</v>
      </c>
      <c r="H408" s="178">
        <v>0.6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 ht="15.75">
      <c r="A409" s="91" t="s">
        <v>294</v>
      </c>
      <c r="B409" s="65" t="s">
        <v>289</v>
      </c>
      <c r="C409" s="177"/>
      <c r="D409" s="151"/>
      <c r="E409" s="151"/>
      <c r="F409" s="151"/>
      <c r="G409" s="151"/>
      <c r="H409" s="178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 ht="15.75">
      <c r="A410" s="93" t="s">
        <v>295</v>
      </c>
      <c r="B410" s="65" t="s">
        <v>257</v>
      </c>
      <c r="C410" s="177"/>
      <c r="D410" s="151"/>
      <c r="E410" s="151"/>
      <c r="F410" s="151"/>
      <c r="G410" s="151"/>
      <c r="H410" s="178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ht="15.75">
      <c r="A411" s="91" t="s">
        <v>293</v>
      </c>
      <c r="B411" s="65" t="s">
        <v>282</v>
      </c>
      <c r="C411" s="177">
        <v>19</v>
      </c>
      <c r="D411" s="151">
        <v>12</v>
      </c>
      <c r="E411" s="151">
        <v>12</v>
      </c>
      <c r="F411" s="151">
        <v>10</v>
      </c>
      <c r="G411" s="151">
        <v>10</v>
      </c>
      <c r="H411" s="178">
        <v>12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ht="15.75">
      <c r="A412" s="91" t="s">
        <v>294</v>
      </c>
      <c r="B412" s="65" t="s">
        <v>282</v>
      </c>
      <c r="C412" s="177"/>
      <c r="D412" s="151"/>
      <c r="E412" s="151"/>
      <c r="F412" s="151"/>
      <c r="G412" s="151"/>
      <c r="H412" s="178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ht="42.75">
      <c r="A413" s="89" t="s">
        <v>296</v>
      </c>
      <c r="B413" s="65" t="s">
        <v>297</v>
      </c>
      <c r="C413" s="177">
        <v>94.4</v>
      </c>
      <c r="D413" s="151">
        <v>94.1</v>
      </c>
      <c r="E413" s="151">
        <v>95.2</v>
      </c>
      <c r="F413" s="151">
        <v>95.1</v>
      </c>
      <c r="G413" s="151">
        <v>95.1</v>
      </c>
      <c r="H413" s="178">
        <v>95.1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ht="15.75">
      <c r="A414" s="91" t="s">
        <v>298</v>
      </c>
      <c r="B414" s="65" t="s">
        <v>297</v>
      </c>
      <c r="C414" s="177"/>
      <c r="D414" s="151"/>
      <c r="E414" s="151"/>
      <c r="F414" s="151"/>
      <c r="G414" s="151"/>
      <c r="H414" s="178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ht="15.75">
      <c r="A415" s="91" t="s">
        <v>299</v>
      </c>
      <c r="B415" s="65" t="s">
        <v>297</v>
      </c>
      <c r="C415" s="177">
        <v>94.4</v>
      </c>
      <c r="D415" s="151">
        <v>94.1</v>
      </c>
      <c r="E415" s="151">
        <v>95.2</v>
      </c>
      <c r="F415" s="151">
        <v>95.1</v>
      </c>
      <c r="G415" s="151">
        <v>95.1</v>
      </c>
      <c r="H415" s="178">
        <v>95.1</v>
      </c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ht="28.5" customHeight="1">
      <c r="A416" s="89" t="s">
        <v>300</v>
      </c>
      <c r="B416" s="65" t="s">
        <v>301</v>
      </c>
      <c r="C416" s="177">
        <v>723</v>
      </c>
      <c r="D416" s="151">
        <v>694.7</v>
      </c>
      <c r="E416" s="151">
        <v>690</v>
      </c>
      <c r="F416" s="151">
        <v>692.4</v>
      </c>
      <c r="G416" s="151">
        <v>697</v>
      </c>
      <c r="H416" s="178">
        <v>697</v>
      </c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ht="15.75">
      <c r="A417" s="93" t="s">
        <v>302</v>
      </c>
      <c r="B417" s="65"/>
      <c r="C417" s="177"/>
      <c r="D417" s="151"/>
      <c r="E417" s="151"/>
      <c r="F417" s="151"/>
      <c r="G417" s="151"/>
      <c r="H417" s="178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ht="15.75">
      <c r="A418" s="91" t="s">
        <v>303</v>
      </c>
      <c r="B418" s="65" t="s">
        <v>304</v>
      </c>
      <c r="C418" s="177">
        <v>30.7</v>
      </c>
      <c r="D418" s="151">
        <v>30</v>
      </c>
      <c r="E418" s="151">
        <v>29.8</v>
      </c>
      <c r="F418" s="151">
        <v>29.7</v>
      </c>
      <c r="G418" s="151">
        <v>29.6</v>
      </c>
      <c r="H418" s="178">
        <v>29.4</v>
      </c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ht="19.5">
      <c r="A419" s="91" t="s">
        <v>306</v>
      </c>
      <c r="B419" s="65" t="s">
        <v>307</v>
      </c>
      <c r="C419" s="177">
        <v>61967.1</v>
      </c>
      <c r="D419" s="151">
        <v>57673.2</v>
      </c>
      <c r="E419" s="151">
        <v>57427.9</v>
      </c>
      <c r="F419" s="151">
        <v>57177.1</v>
      </c>
      <c r="G419" s="151">
        <v>56928.5</v>
      </c>
      <c r="H419" s="178">
        <v>56682</v>
      </c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ht="15.75">
      <c r="A420" s="91" t="s">
        <v>308</v>
      </c>
      <c r="B420" s="65" t="s">
        <v>309</v>
      </c>
      <c r="C420" s="177">
        <v>19</v>
      </c>
      <c r="D420" s="151">
        <v>17.8</v>
      </c>
      <c r="E420" s="151">
        <v>18.4</v>
      </c>
      <c r="F420" s="151">
        <v>18.8</v>
      </c>
      <c r="G420" s="151">
        <v>19.1</v>
      </c>
      <c r="H420" s="178">
        <v>19.5</v>
      </c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ht="15.75">
      <c r="A421" s="91" t="s">
        <v>310</v>
      </c>
      <c r="B421" s="65" t="s">
        <v>309</v>
      </c>
      <c r="C421" s="177">
        <v>38.6</v>
      </c>
      <c r="D421" s="151">
        <v>36.6</v>
      </c>
      <c r="E421" s="151">
        <v>36.4</v>
      </c>
      <c r="F421" s="151">
        <v>37.1</v>
      </c>
      <c r="G421" s="151">
        <v>37.4</v>
      </c>
      <c r="H421" s="178">
        <v>37.7</v>
      </c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ht="31.5" customHeight="1">
      <c r="A422" s="91" t="s">
        <v>311</v>
      </c>
      <c r="B422" s="65" t="s">
        <v>305</v>
      </c>
      <c r="C422" s="177">
        <v>24.8</v>
      </c>
      <c r="D422" s="151">
        <v>68.3</v>
      </c>
      <c r="E422" s="151">
        <v>52.6</v>
      </c>
      <c r="F422" s="151">
        <v>52.4</v>
      </c>
      <c r="G422" s="151">
        <v>63</v>
      </c>
      <c r="H422" s="178">
        <v>62.8</v>
      </c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ht="15.75">
      <c r="A423" s="91" t="s">
        <v>312</v>
      </c>
      <c r="B423" s="65" t="s">
        <v>313</v>
      </c>
      <c r="C423" s="177">
        <v>65.4</v>
      </c>
      <c r="D423" s="151">
        <v>63.9</v>
      </c>
      <c r="E423" s="151">
        <v>63.6</v>
      </c>
      <c r="F423" s="151">
        <v>63.6</v>
      </c>
      <c r="G423" s="151">
        <v>63</v>
      </c>
      <c r="H423" s="178">
        <v>62.8</v>
      </c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ht="15.75">
      <c r="A424" s="91" t="s">
        <v>314</v>
      </c>
      <c r="B424" s="65" t="s">
        <v>313</v>
      </c>
      <c r="C424" s="177">
        <v>65.4</v>
      </c>
      <c r="D424" s="151">
        <v>63.9</v>
      </c>
      <c r="E424" s="151">
        <v>63.6</v>
      </c>
      <c r="F424" s="151">
        <v>65.5</v>
      </c>
      <c r="G424" s="151">
        <v>65.2</v>
      </c>
      <c r="H424" s="178">
        <v>64.9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ht="19.5">
      <c r="A425" s="91" t="s">
        <v>315</v>
      </c>
      <c r="B425" s="65" t="s">
        <v>316</v>
      </c>
      <c r="C425" s="177">
        <v>305.2</v>
      </c>
      <c r="D425" s="151">
        <v>294.5</v>
      </c>
      <c r="E425" s="151">
        <v>343.3</v>
      </c>
      <c r="F425" s="151">
        <v>351.6</v>
      </c>
      <c r="G425" s="151">
        <v>390.8</v>
      </c>
      <c r="H425" s="178">
        <v>384.8</v>
      </c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ht="30">
      <c r="A426" s="93" t="s">
        <v>317</v>
      </c>
      <c r="B426" s="65" t="s">
        <v>318</v>
      </c>
      <c r="C426" s="177">
        <v>49.4</v>
      </c>
      <c r="D426" s="151">
        <v>52.8</v>
      </c>
      <c r="E426" s="151">
        <v>55</v>
      </c>
      <c r="F426" s="151">
        <v>55</v>
      </c>
      <c r="G426" s="151">
        <v>57</v>
      </c>
      <c r="H426" s="178">
        <v>62</v>
      </c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ht="15.75">
      <c r="A427" s="91" t="s">
        <v>319</v>
      </c>
      <c r="B427" s="65"/>
      <c r="C427" s="177"/>
      <c r="D427" s="151"/>
      <c r="E427" s="151"/>
      <c r="F427" s="151"/>
      <c r="G427" s="151"/>
      <c r="H427" s="178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ht="15.75">
      <c r="A428" s="90" t="s">
        <v>219</v>
      </c>
      <c r="B428" s="65" t="s">
        <v>318</v>
      </c>
      <c r="C428" s="177">
        <v>0.5</v>
      </c>
      <c r="D428" s="151">
        <v>0.4</v>
      </c>
      <c r="E428" s="151">
        <v>1</v>
      </c>
      <c r="F428" s="151">
        <v>0.8</v>
      </c>
      <c r="G428" s="151">
        <v>0.7</v>
      </c>
      <c r="H428" s="178">
        <v>0.6</v>
      </c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ht="15.75">
      <c r="A429" s="96" t="s">
        <v>320</v>
      </c>
      <c r="B429" s="65"/>
      <c r="C429" s="177"/>
      <c r="D429" s="151"/>
      <c r="E429" s="151"/>
      <c r="F429" s="151"/>
      <c r="G429" s="151"/>
      <c r="H429" s="178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ht="15.75">
      <c r="A430" s="90" t="s">
        <v>321</v>
      </c>
      <c r="B430" s="65"/>
      <c r="C430" s="177">
        <v>0.4</v>
      </c>
      <c r="D430" s="151">
        <v>0.5</v>
      </c>
      <c r="E430" s="151">
        <v>1</v>
      </c>
      <c r="F430" s="151">
        <v>0.8</v>
      </c>
      <c r="G430" s="151">
        <v>0.7</v>
      </c>
      <c r="H430" s="178">
        <v>0.6</v>
      </c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ht="15.75">
      <c r="A431" s="96" t="s">
        <v>322</v>
      </c>
      <c r="B431" s="65"/>
      <c r="C431" s="177"/>
      <c r="D431" s="151"/>
      <c r="E431" s="151"/>
      <c r="F431" s="151"/>
      <c r="G431" s="151"/>
      <c r="H431" s="178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ht="15.75">
      <c r="A432" s="90" t="s">
        <v>323</v>
      </c>
      <c r="B432" s="65"/>
      <c r="C432" s="177">
        <v>0.05</v>
      </c>
      <c r="D432" s="151">
        <v>0.01</v>
      </c>
      <c r="E432" s="151">
        <v>0.2</v>
      </c>
      <c r="F432" s="151">
        <v>0.1</v>
      </c>
      <c r="G432" s="151">
        <v>0.1</v>
      </c>
      <c r="H432" s="178">
        <v>0.1</v>
      </c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15.75">
      <c r="A433" s="96" t="s">
        <v>324</v>
      </c>
      <c r="B433" s="65"/>
      <c r="C433" s="177"/>
      <c r="D433" s="151"/>
      <c r="E433" s="151"/>
      <c r="F433" s="151"/>
      <c r="G433" s="151"/>
      <c r="H433" s="178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42.75">
      <c r="A434" s="89" t="s">
        <v>325</v>
      </c>
      <c r="B434" s="65" t="s">
        <v>318</v>
      </c>
      <c r="C434" s="177">
        <v>48.5</v>
      </c>
      <c r="D434" s="151">
        <v>51.8</v>
      </c>
      <c r="E434" s="151">
        <v>52.8</v>
      </c>
      <c r="F434" s="151">
        <v>53.3</v>
      </c>
      <c r="G434" s="151">
        <v>55.5</v>
      </c>
      <c r="H434" s="178">
        <v>60.7</v>
      </c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28.5">
      <c r="A435" s="89" t="s">
        <v>326</v>
      </c>
      <c r="B435" s="65" t="s">
        <v>327</v>
      </c>
      <c r="C435" s="177">
        <v>22.2</v>
      </c>
      <c r="D435" s="151">
        <v>22.7</v>
      </c>
      <c r="E435" s="151">
        <v>24.7</v>
      </c>
      <c r="F435" s="151">
        <v>25.5</v>
      </c>
      <c r="G435" s="151">
        <v>26.6</v>
      </c>
      <c r="H435" s="178">
        <v>27.8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ht="42.75">
      <c r="A436" s="89" t="s">
        <v>328</v>
      </c>
      <c r="B436" s="65" t="s">
        <v>329</v>
      </c>
      <c r="C436" s="177">
        <v>212487</v>
      </c>
      <c r="D436" s="151">
        <v>215325.9</v>
      </c>
      <c r="E436" s="151">
        <v>236858.5</v>
      </c>
      <c r="F436" s="151">
        <v>253438.6</v>
      </c>
      <c r="G436" s="151">
        <v>266110.5</v>
      </c>
      <c r="H436" s="178">
        <v>285348.5</v>
      </c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 ht="28.5">
      <c r="A437" s="89" t="s">
        <v>330</v>
      </c>
      <c r="B437" s="65" t="s">
        <v>265</v>
      </c>
      <c r="C437" s="177">
        <v>90</v>
      </c>
      <c r="D437" s="151">
        <v>84</v>
      </c>
      <c r="E437" s="151">
        <v>84.3</v>
      </c>
      <c r="F437" s="151">
        <v>88.2</v>
      </c>
      <c r="G437" s="151">
        <v>95.7</v>
      </c>
      <c r="H437" s="178">
        <v>100</v>
      </c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 ht="15.75">
      <c r="A438" s="89" t="s">
        <v>331</v>
      </c>
      <c r="B438" s="65" t="s">
        <v>332</v>
      </c>
      <c r="C438" s="177">
        <v>2589.9</v>
      </c>
      <c r="D438" s="151">
        <v>2724.7</v>
      </c>
      <c r="E438" s="151">
        <v>3480.3</v>
      </c>
      <c r="F438" s="151">
        <v>4229.3</v>
      </c>
      <c r="G438" s="151">
        <v>4971.7</v>
      </c>
      <c r="H438" s="178">
        <v>5732.6</v>
      </c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 ht="28.5">
      <c r="A439" s="89" t="s">
        <v>333</v>
      </c>
      <c r="B439" s="65" t="s">
        <v>334</v>
      </c>
      <c r="C439" s="177">
        <v>10.1</v>
      </c>
      <c r="D439" s="151">
        <v>10.5</v>
      </c>
      <c r="E439" s="151">
        <v>10.8</v>
      </c>
      <c r="F439" s="151">
        <v>11</v>
      </c>
      <c r="G439" s="151">
        <v>11.3</v>
      </c>
      <c r="H439" s="178">
        <v>11.6</v>
      </c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 ht="29.25" thickBot="1">
      <c r="A440" s="108" t="s">
        <v>333</v>
      </c>
      <c r="B440" s="109" t="s">
        <v>335</v>
      </c>
      <c r="C440" s="207">
        <v>227.6</v>
      </c>
      <c r="D440" s="208">
        <v>231.1</v>
      </c>
      <c r="E440" s="208">
        <v>236.8</v>
      </c>
      <c r="F440" s="208">
        <v>240.2</v>
      </c>
      <c r="G440" s="208">
        <v>245.6</v>
      </c>
      <c r="H440" s="209">
        <v>252.2</v>
      </c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3:21" ht="12.75">
      <c r="C441" s="21"/>
      <c r="D441" s="21"/>
      <c r="E441" s="21"/>
      <c r="F441" s="21"/>
      <c r="G441" s="21"/>
      <c r="H441" s="21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3:21" ht="12.75">
      <c r="C442" s="21"/>
      <c r="D442" s="21"/>
      <c r="E442" s="21"/>
      <c r="F442" s="21"/>
      <c r="G442" s="21"/>
      <c r="H442" s="21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3:21" ht="12.75">
      <c r="C443" s="21"/>
      <c r="D443" s="21"/>
      <c r="E443" s="21"/>
      <c r="F443" s="21"/>
      <c r="G443" s="21"/>
      <c r="H443" s="21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3:21" ht="12.75">
      <c r="C444" s="21"/>
      <c r="D444" s="21"/>
      <c r="E444" s="21"/>
      <c r="F444" s="21"/>
      <c r="G444" s="21"/>
      <c r="H444" s="21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3:21" ht="12.75">
      <c r="C445" s="21"/>
      <c r="D445" s="21"/>
      <c r="E445" s="21"/>
      <c r="F445" s="21"/>
      <c r="G445" s="21"/>
      <c r="H445" s="21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3:21" ht="12.75">
      <c r="C446" s="21"/>
      <c r="D446" s="21"/>
      <c r="E446" s="21"/>
      <c r="F446" s="21"/>
      <c r="G446" s="21"/>
      <c r="H446" s="21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3:21" ht="12.75">
      <c r="C447" s="21"/>
      <c r="D447" s="21"/>
      <c r="E447" s="21"/>
      <c r="F447" s="21"/>
      <c r="G447" s="21"/>
      <c r="H447" s="21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3:21" ht="12.75">
      <c r="C448" s="21"/>
      <c r="D448" s="21"/>
      <c r="E448" s="21"/>
      <c r="F448" s="21"/>
      <c r="G448" s="21"/>
      <c r="H448" s="21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3:21" ht="12.75">
      <c r="C449" s="21"/>
      <c r="D449" s="21"/>
      <c r="E449" s="21"/>
      <c r="F449" s="21"/>
      <c r="G449" s="21"/>
      <c r="H449" s="21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3:21" ht="12.75">
      <c r="C450" s="21"/>
      <c r="D450" s="21"/>
      <c r="E450" s="21"/>
      <c r="F450" s="21"/>
      <c r="G450" s="21"/>
      <c r="H450" s="21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3:21" ht="12.75">
      <c r="C451" s="21"/>
      <c r="D451" s="21"/>
      <c r="E451" s="21"/>
      <c r="F451" s="21"/>
      <c r="G451" s="21"/>
      <c r="H451" s="21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3:21" ht="12.75">
      <c r="C452" s="21"/>
      <c r="D452" s="21"/>
      <c r="E452" s="21"/>
      <c r="F452" s="21"/>
      <c r="G452" s="21"/>
      <c r="H452" s="21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3:21" ht="12.75">
      <c r="C453" s="21"/>
      <c r="D453" s="21"/>
      <c r="E453" s="21"/>
      <c r="F453" s="21"/>
      <c r="G453" s="21"/>
      <c r="H453" s="21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3:21" ht="12.75">
      <c r="C454" s="21"/>
      <c r="D454" s="21"/>
      <c r="E454" s="21"/>
      <c r="F454" s="21"/>
      <c r="G454" s="21"/>
      <c r="H454" s="21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3:21" ht="12.75">
      <c r="C455" s="21"/>
      <c r="D455" s="21"/>
      <c r="E455" s="21"/>
      <c r="F455" s="21"/>
      <c r="G455" s="21"/>
      <c r="H455" s="21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3:21" ht="12.75">
      <c r="C456" s="21"/>
      <c r="D456" s="21"/>
      <c r="E456" s="21"/>
      <c r="F456" s="21"/>
      <c r="G456" s="21"/>
      <c r="H456" s="21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3:21" ht="12.75">
      <c r="C457" s="21"/>
      <c r="D457" s="21"/>
      <c r="E457" s="21"/>
      <c r="F457" s="21"/>
      <c r="G457" s="21"/>
      <c r="H457" s="21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3:21" ht="12.75">
      <c r="C458" s="21"/>
      <c r="D458" s="21"/>
      <c r="E458" s="21"/>
      <c r="F458" s="21"/>
      <c r="G458" s="21"/>
      <c r="H458" s="21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3:21" ht="12.75">
      <c r="C459" s="21"/>
      <c r="D459" s="21"/>
      <c r="E459" s="21"/>
      <c r="F459" s="21"/>
      <c r="G459" s="21"/>
      <c r="H459" s="21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3:21" ht="12.75">
      <c r="C460" s="21"/>
      <c r="D460" s="21"/>
      <c r="E460" s="21"/>
      <c r="F460" s="21"/>
      <c r="G460" s="21"/>
      <c r="H460" s="21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3:21" ht="12.75">
      <c r="C461" s="21"/>
      <c r="D461" s="21"/>
      <c r="E461" s="21"/>
      <c r="F461" s="21"/>
      <c r="G461" s="21"/>
      <c r="H461" s="21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3:21" ht="12.75">
      <c r="C462" s="21"/>
      <c r="D462" s="21"/>
      <c r="E462" s="21"/>
      <c r="F462" s="21"/>
      <c r="G462" s="21"/>
      <c r="H462" s="21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3:21" ht="12.75">
      <c r="C463" s="21"/>
      <c r="D463" s="21"/>
      <c r="E463" s="21"/>
      <c r="F463" s="21"/>
      <c r="G463" s="21"/>
      <c r="H463" s="21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3:21" ht="12.75">
      <c r="C464" s="21"/>
      <c r="D464" s="21"/>
      <c r="E464" s="21"/>
      <c r="F464" s="21"/>
      <c r="G464" s="21"/>
      <c r="H464" s="21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3:21" ht="12.75">
      <c r="C465" s="21"/>
      <c r="D465" s="21"/>
      <c r="E465" s="21"/>
      <c r="F465" s="21"/>
      <c r="G465" s="21"/>
      <c r="H465" s="21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3:21" ht="12.75">
      <c r="C466" s="21"/>
      <c r="D466" s="21"/>
      <c r="E466" s="21"/>
      <c r="F466" s="21"/>
      <c r="G466" s="21"/>
      <c r="H466" s="21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3:21" ht="12.75">
      <c r="C467" s="21"/>
      <c r="D467" s="21"/>
      <c r="E467" s="21"/>
      <c r="F467" s="21"/>
      <c r="G467" s="21"/>
      <c r="H467" s="21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3:21" ht="12.75">
      <c r="C468" s="21"/>
      <c r="D468" s="21"/>
      <c r="E468" s="21"/>
      <c r="F468" s="21"/>
      <c r="G468" s="21"/>
      <c r="H468" s="21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3:21" ht="12.75">
      <c r="C469" s="21"/>
      <c r="D469" s="21"/>
      <c r="E469" s="21"/>
      <c r="F469" s="21"/>
      <c r="G469" s="21"/>
      <c r="H469" s="21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3:21" ht="12.75">
      <c r="C470" s="21"/>
      <c r="D470" s="21"/>
      <c r="E470" s="21"/>
      <c r="F470" s="21"/>
      <c r="G470" s="21"/>
      <c r="H470" s="21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3:21" ht="12.75">
      <c r="C471" s="21"/>
      <c r="D471" s="21"/>
      <c r="E471" s="21"/>
      <c r="F471" s="21"/>
      <c r="G471" s="21"/>
      <c r="H471" s="21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3:21" ht="12.75">
      <c r="C472" s="21"/>
      <c r="D472" s="21"/>
      <c r="E472" s="21"/>
      <c r="F472" s="21"/>
      <c r="G472" s="21"/>
      <c r="H472" s="21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3:21" ht="12.75">
      <c r="C473" s="21"/>
      <c r="D473" s="21"/>
      <c r="E473" s="21"/>
      <c r="F473" s="21"/>
      <c r="G473" s="21"/>
      <c r="H473" s="21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3:21" ht="12.75">
      <c r="C474" s="21"/>
      <c r="D474" s="21"/>
      <c r="E474" s="21"/>
      <c r="F474" s="21"/>
      <c r="G474" s="21"/>
      <c r="H474" s="21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3:21" ht="12.75">
      <c r="C475" s="21"/>
      <c r="D475" s="21"/>
      <c r="E475" s="21"/>
      <c r="F475" s="21"/>
      <c r="G475" s="21"/>
      <c r="H475" s="21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3:21" ht="12.75">
      <c r="C476" s="21"/>
      <c r="D476" s="21"/>
      <c r="E476" s="21"/>
      <c r="F476" s="21"/>
      <c r="G476" s="21"/>
      <c r="H476" s="21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3:21" ht="12.75">
      <c r="C477" s="21"/>
      <c r="D477" s="21"/>
      <c r="E477" s="21"/>
      <c r="F477" s="21"/>
      <c r="G477" s="21"/>
      <c r="H477" s="21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3:21" ht="12.75">
      <c r="C478" s="21"/>
      <c r="D478" s="21"/>
      <c r="E478" s="21"/>
      <c r="F478" s="21"/>
      <c r="G478" s="21"/>
      <c r="H478" s="21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3:21" ht="12.75">
      <c r="C479" s="21"/>
      <c r="D479" s="21"/>
      <c r="E479" s="21"/>
      <c r="F479" s="21"/>
      <c r="G479" s="21"/>
      <c r="H479" s="21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3:21" ht="12.75">
      <c r="C480" s="21"/>
      <c r="D480" s="21"/>
      <c r="E480" s="21"/>
      <c r="F480" s="21"/>
      <c r="G480" s="21"/>
      <c r="H480" s="21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3:21" ht="12.75">
      <c r="C481" s="21"/>
      <c r="D481" s="21"/>
      <c r="E481" s="21"/>
      <c r="F481" s="21"/>
      <c r="G481" s="21"/>
      <c r="H481" s="21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3:21" ht="12.75">
      <c r="C482" s="21"/>
      <c r="D482" s="21"/>
      <c r="E482" s="21"/>
      <c r="F482" s="21"/>
      <c r="G482" s="21"/>
      <c r="H482" s="21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3:21" ht="12.75">
      <c r="C483" s="21"/>
      <c r="D483" s="21"/>
      <c r="E483" s="21"/>
      <c r="F483" s="21"/>
      <c r="G483" s="21"/>
      <c r="H483" s="21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3:21" ht="12.75">
      <c r="C484" s="21"/>
      <c r="D484" s="21"/>
      <c r="E484" s="21"/>
      <c r="F484" s="21"/>
      <c r="G484" s="21"/>
      <c r="H484" s="21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3:21" ht="12.75">
      <c r="C485" s="21"/>
      <c r="D485" s="21"/>
      <c r="E485" s="21"/>
      <c r="F485" s="21"/>
      <c r="G485" s="21"/>
      <c r="H485" s="21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3:21" ht="12.75">
      <c r="C486" s="21"/>
      <c r="D486" s="21"/>
      <c r="E486" s="21"/>
      <c r="F486" s="21"/>
      <c r="G486" s="21"/>
      <c r="H486" s="21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3:21" ht="12.75">
      <c r="C487" s="21"/>
      <c r="D487" s="21"/>
      <c r="E487" s="21"/>
      <c r="F487" s="21"/>
      <c r="G487" s="21"/>
      <c r="H487" s="21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3:21" ht="12.75">
      <c r="C488" s="21"/>
      <c r="D488" s="21"/>
      <c r="E488" s="21"/>
      <c r="F488" s="21"/>
      <c r="G488" s="21"/>
      <c r="H488" s="21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3:21" ht="12.75">
      <c r="C489" s="21"/>
      <c r="D489" s="21"/>
      <c r="E489" s="21"/>
      <c r="F489" s="21"/>
      <c r="G489" s="21"/>
      <c r="H489" s="21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3:21" ht="12.75">
      <c r="C490" s="21"/>
      <c r="D490" s="21"/>
      <c r="E490" s="21"/>
      <c r="F490" s="21"/>
      <c r="G490" s="21"/>
      <c r="H490" s="21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3:21" ht="12.75">
      <c r="C491" s="21"/>
      <c r="D491" s="21"/>
      <c r="E491" s="21"/>
      <c r="F491" s="21"/>
      <c r="G491" s="21"/>
      <c r="H491" s="21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3:21" ht="12.75">
      <c r="C492" s="21"/>
      <c r="D492" s="21"/>
      <c r="E492" s="21"/>
      <c r="F492" s="21"/>
      <c r="G492" s="21"/>
      <c r="H492" s="21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3:21" ht="12.75">
      <c r="C493" s="21"/>
      <c r="D493" s="21"/>
      <c r="E493" s="21"/>
      <c r="F493" s="21"/>
      <c r="G493" s="21"/>
      <c r="H493" s="21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3:21" ht="12.75">
      <c r="C494" s="21"/>
      <c r="D494" s="21"/>
      <c r="E494" s="21"/>
      <c r="F494" s="21"/>
      <c r="G494" s="21"/>
      <c r="H494" s="21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3:21" ht="12.75">
      <c r="C495" s="21"/>
      <c r="D495" s="21"/>
      <c r="E495" s="21"/>
      <c r="F495" s="21"/>
      <c r="G495" s="21"/>
      <c r="H495" s="21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3:21" ht="12.75">
      <c r="C496" s="21"/>
      <c r="D496" s="21"/>
      <c r="E496" s="21"/>
      <c r="F496" s="21"/>
      <c r="G496" s="21"/>
      <c r="H496" s="21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3:21" ht="12.75">
      <c r="C497" s="21"/>
      <c r="D497" s="21"/>
      <c r="E497" s="21"/>
      <c r="F497" s="21"/>
      <c r="G497" s="21"/>
      <c r="H497" s="21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3:21" ht="12.75">
      <c r="C498" s="21"/>
      <c r="D498" s="21"/>
      <c r="E498" s="21"/>
      <c r="F498" s="21"/>
      <c r="G498" s="21"/>
      <c r="H498" s="21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3:21" ht="12.75">
      <c r="C499" s="21"/>
      <c r="D499" s="21"/>
      <c r="E499" s="21"/>
      <c r="F499" s="21"/>
      <c r="G499" s="21"/>
      <c r="H499" s="21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3:21" ht="12.75">
      <c r="C500" s="21"/>
      <c r="D500" s="21"/>
      <c r="E500" s="21"/>
      <c r="F500" s="21"/>
      <c r="G500" s="21"/>
      <c r="H500" s="21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3:21" ht="12.75">
      <c r="C501" s="21"/>
      <c r="D501" s="21"/>
      <c r="E501" s="21"/>
      <c r="F501" s="21"/>
      <c r="G501" s="21"/>
      <c r="H501" s="21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3:21" ht="12.75">
      <c r="C502" s="21"/>
      <c r="D502" s="21"/>
      <c r="E502" s="21"/>
      <c r="F502" s="21"/>
      <c r="G502" s="21"/>
      <c r="H502" s="21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3:21" ht="12.75">
      <c r="C503" s="21"/>
      <c r="D503" s="21"/>
      <c r="E503" s="21"/>
      <c r="F503" s="21"/>
      <c r="G503" s="21"/>
      <c r="H503" s="21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3:21" ht="12.75">
      <c r="C504" s="21"/>
      <c r="D504" s="21"/>
      <c r="E504" s="21"/>
      <c r="F504" s="21"/>
      <c r="G504" s="21"/>
      <c r="H504" s="21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3:21" ht="12.75">
      <c r="C505" s="21"/>
      <c r="D505" s="21"/>
      <c r="E505" s="21"/>
      <c r="F505" s="21"/>
      <c r="G505" s="21"/>
      <c r="H505" s="21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3:21" ht="12.75">
      <c r="C506" s="21"/>
      <c r="D506" s="21"/>
      <c r="E506" s="21"/>
      <c r="F506" s="21"/>
      <c r="G506" s="21"/>
      <c r="H506" s="21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3:8" ht="12.75">
      <c r="C507" s="21"/>
      <c r="D507" s="21"/>
      <c r="E507" s="21"/>
      <c r="F507" s="21"/>
      <c r="G507" s="21"/>
      <c r="H507" s="21"/>
    </row>
  </sheetData>
  <sheetProtection/>
  <mergeCells count="16">
    <mergeCell ref="A34:A35"/>
    <mergeCell ref="B34:B35"/>
    <mergeCell ref="A3:G3"/>
    <mergeCell ref="A4:G4"/>
    <mergeCell ref="A5:G5"/>
    <mergeCell ref="A6:G6"/>
    <mergeCell ref="F9:H9"/>
    <mergeCell ref="C9:D9"/>
    <mergeCell ref="A8:A9"/>
    <mergeCell ref="B8:B9"/>
    <mergeCell ref="G34:G35"/>
    <mergeCell ref="H34:H35"/>
    <mergeCell ref="C34:C35"/>
    <mergeCell ref="D34:D35"/>
    <mergeCell ref="E34:E35"/>
    <mergeCell ref="F34:F35"/>
  </mergeCells>
  <printOptions/>
  <pageMargins left="0.984251968503937" right="0.3937007874015748" top="0.21" bottom="0.2" header="0.17" footer="0.31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1"/>
  <sheetViews>
    <sheetView zoomScalePageLayoutView="0" workbookViewId="0" topLeftCell="A1">
      <pane xSplit="1" ySplit="9" topLeftCell="C44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444" sqref="H444"/>
    </sheetView>
  </sheetViews>
  <sheetFormatPr defaultColWidth="9.00390625" defaultRowHeight="12.75"/>
  <cols>
    <col min="1" max="1" width="57.375" style="1" customWidth="1"/>
    <col min="2" max="2" width="20.625" style="3" customWidth="1"/>
    <col min="3" max="3" width="15.75390625" style="4" customWidth="1"/>
    <col min="4" max="4" width="16.625" style="4" customWidth="1"/>
    <col min="5" max="5" width="13.75390625" style="4" customWidth="1"/>
    <col min="6" max="6" width="16.25390625" style="4" customWidth="1"/>
    <col min="7" max="7" width="12.375" style="4" customWidth="1"/>
    <col min="8" max="8" width="12.00390625" style="4" customWidth="1"/>
    <col min="9" max="16384" width="9.125" style="1" customWidth="1"/>
  </cols>
  <sheetData>
    <row r="1" ht="12.75">
      <c r="A1" s="1" t="s">
        <v>377</v>
      </c>
    </row>
    <row r="3" spans="1:8" ht="18.75">
      <c r="A3" s="138" t="s">
        <v>0</v>
      </c>
      <c r="B3" s="139"/>
      <c r="C3" s="139"/>
      <c r="D3" s="139"/>
      <c r="E3" s="139"/>
      <c r="F3" s="139"/>
      <c r="G3" s="139"/>
      <c r="H3" s="1"/>
    </row>
    <row r="4" spans="1:8" ht="18.75">
      <c r="A4" s="138" t="s">
        <v>388</v>
      </c>
      <c r="B4" s="139"/>
      <c r="C4" s="139"/>
      <c r="D4" s="139"/>
      <c r="E4" s="139"/>
      <c r="F4" s="139"/>
      <c r="G4" s="139"/>
      <c r="H4" s="1"/>
    </row>
    <row r="5" spans="1:8" ht="22.5">
      <c r="A5" s="140" t="s">
        <v>401</v>
      </c>
      <c r="B5" s="141"/>
      <c r="C5" s="141"/>
      <c r="D5" s="141"/>
      <c r="E5" s="141"/>
      <c r="F5" s="141"/>
      <c r="G5" s="141"/>
      <c r="H5" s="1"/>
    </row>
    <row r="6" spans="1:8" ht="14.25">
      <c r="A6" s="142" t="s">
        <v>1</v>
      </c>
      <c r="B6" s="139"/>
      <c r="C6" s="139"/>
      <c r="D6" s="139"/>
      <c r="E6" s="139"/>
      <c r="F6" s="139"/>
      <c r="G6" s="139"/>
      <c r="H6" s="1"/>
    </row>
    <row r="7" ht="15.75" thickBot="1">
      <c r="A7" s="2"/>
    </row>
    <row r="8" spans="1:8" ht="15">
      <c r="A8" s="134" t="s">
        <v>387</v>
      </c>
      <c r="B8" s="136" t="s">
        <v>386</v>
      </c>
      <c r="C8" s="27">
        <v>2009</v>
      </c>
      <c r="D8" s="29">
        <v>2010</v>
      </c>
      <c r="E8" s="87">
        <v>2011</v>
      </c>
      <c r="F8" s="27">
        <v>2012</v>
      </c>
      <c r="G8" s="28">
        <v>2013</v>
      </c>
      <c r="H8" s="29">
        <v>2014</v>
      </c>
    </row>
    <row r="9" spans="1:8" ht="12.75" customHeight="1" thickBot="1">
      <c r="A9" s="135"/>
      <c r="B9" s="137"/>
      <c r="C9" s="131" t="s">
        <v>2</v>
      </c>
      <c r="D9" s="133"/>
      <c r="E9" s="117" t="s">
        <v>3</v>
      </c>
      <c r="F9" s="131" t="s">
        <v>4</v>
      </c>
      <c r="G9" s="132"/>
      <c r="H9" s="133"/>
    </row>
    <row r="10" spans="1:8" ht="18.75">
      <c r="A10" s="111" t="s">
        <v>5</v>
      </c>
      <c r="B10" s="112"/>
      <c r="C10" s="113"/>
      <c r="D10" s="114"/>
      <c r="E10" s="115"/>
      <c r="F10" s="113"/>
      <c r="G10" s="116"/>
      <c r="H10" s="114"/>
    </row>
    <row r="11" spans="1:8" ht="28.5">
      <c r="A11" s="89" t="s">
        <v>6</v>
      </c>
      <c r="B11" s="65" t="s">
        <v>7</v>
      </c>
      <c r="C11" s="30">
        <v>44.3</v>
      </c>
      <c r="D11" s="31">
        <v>45.4</v>
      </c>
      <c r="E11" s="69">
        <v>45.7</v>
      </c>
      <c r="F11" s="30">
        <v>46.1</v>
      </c>
      <c r="G11" s="5">
        <v>46.5</v>
      </c>
      <c r="H11" s="31">
        <v>46.8</v>
      </c>
    </row>
    <row r="12" spans="1:21" ht="14.25">
      <c r="A12" s="90" t="s">
        <v>122</v>
      </c>
      <c r="B12" s="65" t="s">
        <v>8</v>
      </c>
      <c r="C12" s="30"/>
      <c r="D12" s="31"/>
      <c r="E12" s="69"/>
      <c r="F12" s="30"/>
      <c r="G12" s="5"/>
      <c r="H12" s="31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4.25">
      <c r="A13" s="91" t="s">
        <v>9</v>
      </c>
      <c r="B13" s="65" t="s">
        <v>7</v>
      </c>
      <c r="C13" s="30"/>
      <c r="D13" s="31"/>
      <c r="E13" s="69"/>
      <c r="F13" s="30"/>
      <c r="G13" s="5"/>
      <c r="H13" s="3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4.25">
      <c r="A14" s="91"/>
      <c r="B14" s="65" t="s">
        <v>8</v>
      </c>
      <c r="C14" s="30"/>
      <c r="D14" s="31"/>
      <c r="E14" s="69"/>
      <c r="F14" s="30"/>
      <c r="G14" s="5"/>
      <c r="H14" s="3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4.25">
      <c r="A15" s="91" t="s">
        <v>10</v>
      </c>
      <c r="B15" s="65" t="s">
        <v>7</v>
      </c>
      <c r="C15" s="30">
        <v>44.3</v>
      </c>
      <c r="D15" s="31">
        <v>45.4</v>
      </c>
      <c r="E15" s="69">
        <v>45.7</v>
      </c>
      <c r="F15" s="30">
        <v>46.1</v>
      </c>
      <c r="G15" s="5">
        <v>46.5</v>
      </c>
      <c r="H15" s="31">
        <v>46.8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4.25">
      <c r="A16" s="91"/>
      <c r="B16" s="65" t="s">
        <v>8</v>
      </c>
      <c r="C16" s="30"/>
      <c r="D16" s="5">
        <v>102</v>
      </c>
      <c r="E16" s="14">
        <f>E15/D15*100</f>
        <v>100.66079295154186</v>
      </c>
      <c r="F16" s="14">
        <f>F15/E15*100</f>
        <v>100.87527352297592</v>
      </c>
      <c r="G16" s="14">
        <f>G15/F15*100</f>
        <v>100.86767895878526</v>
      </c>
      <c r="H16" s="14">
        <f>H15/G15*100</f>
        <v>100.64516129032258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2.75" customHeight="1">
      <c r="A17" s="143" t="s">
        <v>11</v>
      </c>
      <c r="B17" s="144" t="s">
        <v>12</v>
      </c>
      <c r="C17" s="30">
        <v>14.9</v>
      </c>
      <c r="D17" s="31">
        <v>15.1</v>
      </c>
      <c r="E17" s="69">
        <v>13.8</v>
      </c>
      <c r="F17" s="30">
        <v>13.8</v>
      </c>
      <c r="G17" s="5">
        <v>13.7</v>
      </c>
      <c r="H17" s="31">
        <v>13.6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2.75" customHeight="1">
      <c r="A18" s="143"/>
      <c r="B18" s="144"/>
      <c r="C18" s="30">
        <v>14.6</v>
      </c>
      <c r="D18" s="31">
        <v>14.4</v>
      </c>
      <c r="E18" s="73">
        <v>14</v>
      </c>
      <c r="F18" s="38">
        <v>14</v>
      </c>
      <c r="G18" s="5">
        <v>13.9</v>
      </c>
      <c r="H18" s="31">
        <v>13.8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4.25">
      <c r="A19" s="89" t="s">
        <v>13</v>
      </c>
      <c r="B19" s="65" t="s">
        <v>14</v>
      </c>
      <c r="C19" s="30">
        <v>0.3</v>
      </c>
      <c r="D19" s="31">
        <v>0.7</v>
      </c>
      <c r="E19" s="76">
        <v>-0.2</v>
      </c>
      <c r="F19" s="48">
        <v>-0.26</v>
      </c>
      <c r="G19" s="13">
        <v>-0.19</v>
      </c>
      <c r="H19" s="49">
        <v>0.15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4.25">
      <c r="A20" s="89" t="s">
        <v>15</v>
      </c>
      <c r="B20" s="65" t="s">
        <v>14</v>
      </c>
      <c r="C20" s="30">
        <v>72.5</v>
      </c>
      <c r="D20" s="31">
        <v>65.2</v>
      </c>
      <c r="E20" s="69">
        <v>89.2</v>
      </c>
      <c r="F20" s="30">
        <v>74.2</v>
      </c>
      <c r="G20" s="5">
        <v>75.1</v>
      </c>
      <c r="H20" s="31">
        <v>75.9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4.25">
      <c r="A21" s="89" t="s">
        <v>16</v>
      </c>
      <c r="B21" s="65" t="s">
        <v>14</v>
      </c>
      <c r="C21" s="30"/>
      <c r="D21" s="31"/>
      <c r="E21" s="69"/>
      <c r="F21" s="30"/>
      <c r="G21" s="5"/>
      <c r="H21" s="3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4.25">
      <c r="A22" s="89" t="s">
        <v>17</v>
      </c>
      <c r="B22" s="65" t="s">
        <v>18</v>
      </c>
      <c r="C22" s="30"/>
      <c r="D22" s="31"/>
      <c r="E22" s="69"/>
      <c r="F22" s="30"/>
      <c r="G22" s="5"/>
      <c r="H22" s="3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8.75">
      <c r="A23" s="88" t="s">
        <v>19</v>
      </c>
      <c r="B23" s="65"/>
      <c r="C23" s="30"/>
      <c r="D23" s="31"/>
      <c r="E23" s="69"/>
      <c r="F23" s="30"/>
      <c r="G23" s="5"/>
      <c r="H23" s="31"/>
      <c r="I23" s="22" t="s">
        <v>376</v>
      </c>
      <c r="J23" s="22"/>
      <c r="K23" s="22"/>
      <c r="L23" s="22"/>
      <c r="M23" s="22"/>
      <c r="N23" s="22"/>
      <c r="O23" s="22"/>
      <c r="P23" s="22"/>
      <c r="Q23" s="6"/>
      <c r="R23" s="6"/>
      <c r="S23" s="6"/>
      <c r="T23" s="6"/>
      <c r="U23" s="6"/>
    </row>
    <row r="24" spans="1:21" ht="15.75">
      <c r="A24" s="92" t="s">
        <v>366</v>
      </c>
      <c r="B24" s="65"/>
      <c r="C24" s="30"/>
      <c r="D24" s="31"/>
      <c r="E24" s="69"/>
      <c r="F24" s="30"/>
      <c r="G24" s="5"/>
      <c r="H24" s="31"/>
      <c r="I24" s="22"/>
      <c r="J24" s="22"/>
      <c r="K24" s="22"/>
      <c r="L24" s="22"/>
      <c r="M24" s="22"/>
      <c r="N24" s="22"/>
      <c r="O24" s="22"/>
      <c r="P24" s="22"/>
      <c r="Q24" s="6"/>
      <c r="R24" s="6"/>
      <c r="S24" s="6"/>
      <c r="T24" s="6"/>
      <c r="U24" s="6"/>
    </row>
    <row r="25" spans="1:21" ht="15">
      <c r="A25" s="93" t="s">
        <v>20</v>
      </c>
      <c r="B25" s="65"/>
      <c r="C25" s="30"/>
      <c r="D25" s="31"/>
      <c r="E25" s="69"/>
      <c r="F25" s="30"/>
      <c r="G25" s="5"/>
      <c r="H25" s="3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71.25">
      <c r="A26" s="89" t="s">
        <v>358</v>
      </c>
      <c r="B26" s="65" t="s">
        <v>8</v>
      </c>
      <c r="C26" s="32"/>
      <c r="D26" s="33"/>
      <c r="E26" s="70"/>
      <c r="F26" s="32"/>
      <c r="G26" s="24"/>
      <c r="H26" s="33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30">
      <c r="A27" s="93" t="s">
        <v>359</v>
      </c>
      <c r="B27" s="65"/>
      <c r="C27" s="30"/>
      <c r="D27" s="31"/>
      <c r="E27" s="69"/>
      <c r="F27" s="30"/>
      <c r="G27" s="5"/>
      <c r="H27" s="31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42.75">
      <c r="A28" s="89" t="s">
        <v>21</v>
      </c>
      <c r="B28" s="65" t="s">
        <v>22</v>
      </c>
      <c r="C28" s="30"/>
      <c r="D28" s="31"/>
      <c r="E28" s="69"/>
      <c r="F28" s="30"/>
      <c r="G28" s="5"/>
      <c r="H28" s="3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4.25">
      <c r="A29" s="89" t="s">
        <v>23</v>
      </c>
      <c r="B29" s="65" t="s">
        <v>8</v>
      </c>
      <c r="C29" s="30"/>
      <c r="D29" s="31"/>
      <c r="E29" s="69"/>
      <c r="F29" s="30"/>
      <c r="G29" s="5"/>
      <c r="H29" s="31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4.25">
      <c r="A30" s="89" t="s">
        <v>24</v>
      </c>
      <c r="B30" s="65" t="s">
        <v>8</v>
      </c>
      <c r="C30" s="30"/>
      <c r="D30" s="31"/>
      <c r="E30" s="69"/>
      <c r="F30" s="30"/>
      <c r="G30" s="5"/>
      <c r="H30" s="3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57">
      <c r="A31" s="89" t="s">
        <v>25</v>
      </c>
      <c r="B31" s="65" t="s">
        <v>22</v>
      </c>
      <c r="C31" s="30"/>
      <c r="D31" s="31"/>
      <c r="E31" s="69"/>
      <c r="F31" s="30"/>
      <c r="G31" s="5"/>
      <c r="H31" s="3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28.5">
      <c r="A32" s="89" t="s">
        <v>26</v>
      </c>
      <c r="B32" s="65" t="s">
        <v>8</v>
      </c>
      <c r="C32" s="30"/>
      <c r="D32" s="31"/>
      <c r="E32" s="69"/>
      <c r="F32" s="30"/>
      <c r="G32" s="5"/>
      <c r="H32" s="3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28.5">
      <c r="A33" s="89" t="s">
        <v>27</v>
      </c>
      <c r="B33" s="65" t="s">
        <v>8</v>
      </c>
      <c r="C33" s="30"/>
      <c r="D33" s="31"/>
      <c r="E33" s="69"/>
      <c r="F33" s="30"/>
      <c r="G33" s="5"/>
      <c r="H33" s="3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57">
      <c r="A34" s="89" t="s">
        <v>28</v>
      </c>
      <c r="B34" s="65" t="s">
        <v>22</v>
      </c>
      <c r="C34" s="30"/>
      <c r="D34" s="31"/>
      <c r="E34" s="69"/>
      <c r="F34" s="30"/>
      <c r="G34" s="5"/>
      <c r="H34" s="3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28.5">
      <c r="A35" s="89" t="s">
        <v>29</v>
      </c>
      <c r="B35" s="65" t="s">
        <v>8</v>
      </c>
      <c r="C35" s="30"/>
      <c r="D35" s="31"/>
      <c r="E35" s="69"/>
      <c r="F35" s="30"/>
      <c r="G35" s="5"/>
      <c r="H35" s="31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143" t="s">
        <v>30</v>
      </c>
      <c r="B36" s="144" t="s">
        <v>8</v>
      </c>
      <c r="C36" s="145"/>
      <c r="D36" s="146"/>
      <c r="E36" s="147"/>
      <c r="F36" s="145"/>
      <c r="G36" s="148"/>
      <c r="H36" s="14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143"/>
      <c r="B37" s="144"/>
      <c r="C37" s="145"/>
      <c r="D37" s="146"/>
      <c r="E37" s="147"/>
      <c r="F37" s="145"/>
      <c r="G37" s="148"/>
      <c r="H37" s="14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30">
      <c r="A38" s="93" t="s">
        <v>360</v>
      </c>
      <c r="B38" s="65"/>
      <c r="C38" s="30"/>
      <c r="D38" s="31"/>
      <c r="E38" s="69"/>
      <c r="F38" s="30"/>
      <c r="G38" s="5"/>
      <c r="H38" s="3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57">
      <c r="A39" s="89" t="s">
        <v>31</v>
      </c>
      <c r="B39" s="65" t="s">
        <v>22</v>
      </c>
      <c r="C39" s="30"/>
      <c r="D39" s="31"/>
      <c r="E39" s="69"/>
      <c r="F39" s="30"/>
      <c r="G39" s="5"/>
      <c r="H39" s="31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28.5">
      <c r="A40" s="89" t="s">
        <v>32</v>
      </c>
      <c r="B40" s="65" t="s">
        <v>8</v>
      </c>
      <c r="C40" s="30"/>
      <c r="D40" s="31"/>
      <c r="E40" s="69"/>
      <c r="F40" s="30"/>
      <c r="G40" s="5"/>
      <c r="H40" s="3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4.25">
      <c r="A41" s="89" t="s">
        <v>33</v>
      </c>
      <c r="B41" s="65" t="s">
        <v>8</v>
      </c>
      <c r="C41" s="30"/>
      <c r="D41" s="31"/>
      <c r="E41" s="69"/>
      <c r="F41" s="30"/>
      <c r="G41" s="5"/>
      <c r="H41" s="31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57">
      <c r="A42" s="89" t="s">
        <v>34</v>
      </c>
      <c r="B42" s="65" t="s">
        <v>22</v>
      </c>
      <c r="C42" s="30"/>
      <c r="D42" s="31"/>
      <c r="E42" s="69"/>
      <c r="F42" s="30"/>
      <c r="G42" s="5"/>
      <c r="H42" s="31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28.5">
      <c r="A43" s="89" t="s">
        <v>35</v>
      </c>
      <c r="B43" s="65" t="s">
        <v>8</v>
      </c>
      <c r="C43" s="30"/>
      <c r="D43" s="31"/>
      <c r="E43" s="69"/>
      <c r="F43" s="30"/>
      <c r="G43" s="5"/>
      <c r="H43" s="31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28.5">
      <c r="A44" s="89" t="s">
        <v>36</v>
      </c>
      <c r="B44" s="65" t="s">
        <v>8</v>
      </c>
      <c r="C44" s="30"/>
      <c r="D44" s="31"/>
      <c r="E44" s="69"/>
      <c r="F44" s="30"/>
      <c r="G44" s="5"/>
      <c r="H44" s="31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57">
      <c r="A45" s="89" t="s">
        <v>37</v>
      </c>
      <c r="B45" s="65" t="s">
        <v>22</v>
      </c>
      <c r="C45" s="30"/>
      <c r="D45" s="31"/>
      <c r="E45" s="69"/>
      <c r="F45" s="30"/>
      <c r="G45" s="5"/>
      <c r="H45" s="31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28.5">
      <c r="A46" s="89" t="s">
        <v>38</v>
      </c>
      <c r="B46" s="65" t="s">
        <v>8</v>
      </c>
      <c r="C46" s="30"/>
      <c r="D46" s="31"/>
      <c r="E46" s="69"/>
      <c r="F46" s="30"/>
      <c r="G46" s="5"/>
      <c r="H46" s="31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28.5">
      <c r="A47" s="89" t="s">
        <v>39</v>
      </c>
      <c r="B47" s="65" t="s">
        <v>8</v>
      </c>
      <c r="C47" s="30"/>
      <c r="D47" s="31"/>
      <c r="E47" s="69"/>
      <c r="F47" s="30"/>
      <c r="G47" s="5"/>
      <c r="H47" s="31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57">
      <c r="A48" s="89" t="s">
        <v>40</v>
      </c>
      <c r="B48" s="65" t="s">
        <v>22</v>
      </c>
      <c r="C48" s="30"/>
      <c r="D48" s="31"/>
      <c r="E48" s="69"/>
      <c r="F48" s="30"/>
      <c r="G48" s="5"/>
      <c r="H48" s="31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28.5">
      <c r="A49" s="89" t="s">
        <v>41</v>
      </c>
      <c r="B49" s="65" t="s">
        <v>8</v>
      </c>
      <c r="C49" s="34"/>
      <c r="D49" s="35"/>
      <c r="E49" s="71"/>
      <c r="F49" s="34"/>
      <c r="G49" s="7"/>
      <c r="H49" s="3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28.5">
      <c r="A50" s="89" t="s">
        <v>42</v>
      </c>
      <c r="B50" s="65" t="s">
        <v>8</v>
      </c>
      <c r="C50" s="30"/>
      <c r="D50" s="31"/>
      <c r="E50" s="69"/>
      <c r="F50" s="30"/>
      <c r="G50" s="5"/>
      <c r="H50" s="31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57">
      <c r="A51" s="89" t="s">
        <v>43</v>
      </c>
      <c r="B51" s="65" t="s">
        <v>22</v>
      </c>
      <c r="C51" s="30"/>
      <c r="D51" s="31"/>
      <c r="E51" s="69"/>
      <c r="F51" s="30"/>
      <c r="G51" s="5"/>
      <c r="H51" s="31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28.5">
      <c r="A52" s="89" t="s">
        <v>44</v>
      </c>
      <c r="B52" s="65" t="s">
        <v>8</v>
      </c>
      <c r="C52" s="30"/>
      <c r="D52" s="31"/>
      <c r="E52" s="69"/>
      <c r="F52" s="30"/>
      <c r="G52" s="5"/>
      <c r="H52" s="31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28.5">
      <c r="A53" s="89" t="s">
        <v>45</v>
      </c>
      <c r="B53" s="65" t="s">
        <v>8</v>
      </c>
      <c r="C53" s="30"/>
      <c r="D53" s="31"/>
      <c r="E53" s="69"/>
      <c r="F53" s="30"/>
      <c r="G53" s="5"/>
      <c r="H53" s="31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71.25">
      <c r="A54" s="89" t="s">
        <v>46</v>
      </c>
      <c r="B54" s="65" t="s">
        <v>22</v>
      </c>
      <c r="C54" s="30"/>
      <c r="D54" s="31"/>
      <c r="E54" s="69"/>
      <c r="F54" s="30"/>
      <c r="G54" s="5"/>
      <c r="H54" s="31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42.75">
      <c r="A55" s="89" t="s">
        <v>47</v>
      </c>
      <c r="B55" s="65" t="s">
        <v>8</v>
      </c>
      <c r="C55" s="30"/>
      <c r="D55" s="31"/>
      <c r="E55" s="69"/>
      <c r="F55" s="30"/>
      <c r="G55" s="5"/>
      <c r="H55" s="31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42.75">
      <c r="A56" s="89" t="s">
        <v>48</v>
      </c>
      <c r="B56" s="65" t="s">
        <v>8</v>
      </c>
      <c r="C56" s="30"/>
      <c r="D56" s="31"/>
      <c r="E56" s="69"/>
      <c r="F56" s="30"/>
      <c r="G56" s="5"/>
      <c r="H56" s="31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57">
      <c r="A57" s="89" t="s">
        <v>49</v>
      </c>
      <c r="B57" s="65" t="s">
        <v>22</v>
      </c>
      <c r="C57" s="30"/>
      <c r="D57" s="31"/>
      <c r="E57" s="69"/>
      <c r="F57" s="30"/>
      <c r="G57" s="5"/>
      <c r="H57" s="31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28.5">
      <c r="A58" s="89" t="s">
        <v>50</v>
      </c>
      <c r="B58" s="65" t="s">
        <v>8</v>
      </c>
      <c r="C58" s="34"/>
      <c r="D58" s="35"/>
      <c r="E58" s="71"/>
      <c r="F58" s="34"/>
      <c r="G58" s="7"/>
      <c r="H58" s="3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28.5">
      <c r="A59" s="89" t="s">
        <v>51</v>
      </c>
      <c r="B59" s="65" t="s">
        <v>8</v>
      </c>
      <c r="C59" s="30"/>
      <c r="D59" s="31"/>
      <c r="E59" s="69"/>
      <c r="F59" s="30"/>
      <c r="G59" s="5"/>
      <c r="H59" s="31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57">
      <c r="A60" s="89" t="s">
        <v>52</v>
      </c>
      <c r="B60" s="65" t="s">
        <v>22</v>
      </c>
      <c r="C60" s="30"/>
      <c r="D60" s="31"/>
      <c r="E60" s="69"/>
      <c r="F60" s="30"/>
      <c r="G60" s="5"/>
      <c r="H60" s="31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4.25">
      <c r="A61" s="89" t="s">
        <v>53</v>
      </c>
      <c r="B61" s="65" t="s">
        <v>8</v>
      </c>
      <c r="C61" s="30"/>
      <c r="D61" s="31"/>
      <c r="E61" s="69"/>
      <c r="F61" s="30"/>
      <c r="G61" s="5"/>
      <c r="H61" s="31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4.25">
      <c r="A62" s="89" t="s">
        <v>54</v>
      </c>
      <c r="B62" s="65" t="s">
        <v>8</v>
      </c>
      <c r="C62" s="30"/>
      <c r="D62" s="31"/>
      <c r="E62" s="69"/>
      <c r="F62" s="30"/>
      <c r="G62" s="5"/>
      <c r="H62" s="31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57">
      <c r="A63" s="89" t="s">
        <v>55</v>
      </c>
      <c r="B63" s="65" t="s">
        <v>22</v>
      </c>
      <c r="C63" s="30"/>
      <c r="D63" s="31"/>
      <c r="E63" s="69"/>
      <c r="F63" s="30"/>
      <c r="G63" s="5"/>
      <c r="H63" s="31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28.5">
      <c r="A64" s="89" t="s">
        <v>56</v>
      </c>
      <c r="B64" s="65" t="s">
        <v>8</v>
      </c>
      <c r="C64" s="30"/>
      <c r="D64" s="31"/>
      <c r="E64" s="69"/>
      <c r="F64" s="30"/>
      <c r="G64" s="5"/>
      <c r="H64" s="31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28.5">
      <c r="A65" s="89" t="s">
        <v>57</v>
      </c>
      <c r="B65" s="65" t="s">
        <v>8</v>
      </c>
      <c r="C65" s="30"/>
      <c r="D65" s="31"/>
      <c r="E65" s="69"/>
      <c r="F65" s="30"/>
      <c r="G65" s="5"/>
      <c r="H65" s="31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57">
      <c r="A66" s="89" t="s">
        <v>58</v>
      </c>
      <c r="B66" s="65" t="s">
        <v>22</v>
      </c>
      <c r="C66" s="30"/>
      <c r="D66" s="31"/>
      <c r="E66" s="69"/>
      <c r="F66" s="30"/>
      <c r="G66" s="5"/>
      <c r="H66" s="31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28.5">
      <c r="A67" s="89" t="s">
        <v>59</v>
      </c>
      <c r="B67" s="65" t="s">
        <v>8</v>
      </c>
      <c r="C67" s="30"/>
      <c r="D67" s="31"/>
      <c r="E67" s="69"/>
      <c r="F67" s="30"/>
      <c r="G67" s="5"/>
      <c r="H67" s="31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28.5">
      <c r="A68" s="89" t="s">
        <v>60</v>
      </c>
      <c r="B68" s="65" t="s">
        <v>8</v>
      </c>
      <c r="C68" s="30"/>
      <c r="D68" s="31"/>
      <c r="E68" s="69"/>
      <c r="F68" s="30"/>
      <c r="G68" s="5"/>
      <c r="H68" s="31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71.25">
      <c r="A69" s="89" t="s">
        <v>61</v>
      </c>
      <c r="B69" s="65" t="s">
        <v>22</v>
      </c>
      <c r="C69" s="30"/>
      <c r="D69" s="31"/>
      <c r="E69" s="69"/>
      <c r="F69" s="30"/>
      <c r="G69" s="5"/>
      <c r="H69" s="3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42.75">
      <c r="A70" s="89" t="s">
        <v>62</v>
      </c>
      <c r="B70" s="65" t="s">
        <v>8</v>
      </c>
      <c r="C70" s="30"/>
      <c r="D70" s="31"/>
      <c r="E70" s="69"/>
      <c r="F70" s="30"/>
      <c r="G70" s="5"/>
      <c r="H70" s="3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28.5">
      <c r="A71" s="89" t="s">
        <v>63</v>
      </c>
      <c r="B71" s="65" t="s">
        <v>8</v>
      </c>
      <c r="C71" s="30"/>
      <c r="D71" s="31"/>
      <c r="E71" s="69"/>
      <c r="F71" s="30"/>
      <c r="G71" s="5"/>
      <c r="H71" s="3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57" customHeight="1">
      <c r="A72" s="89" t="s">
        <v>64</v>
      </c>
      <c r="B72" s="65" t="s">
        <v>22</v>
      </c>
      <c r="C72" s="30"/>
      <c r="D72" s="31"/>
      <c r="E72" s="69"/>
      <c r="F72" s="30"/>
      <c r="G72" s="5"/>
      <c r="H72" s="3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28.5" customHeight="1">
      <c r="A73" s="89" t="s">
        <v>65</v>
      </c>
      <c r="B73" s="65" t="s">
        <v>8</v>
      </c>
      <c r="C73" s="30"/>
      <c r="D73" s="31"/>
      <c r="E73" s="69"/>
      <c r="F73" s="30"/>
      <c r="G73" s="5"/>
      <c r="H73" s="3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28.5" customHeight="1">
      <c r="A74" s="89" t="s">
        <v>66</v>
      </c>
      <c r="B74" s="65" t="s">
        <v>8</v>
      </c>
      <c r="C74" s="30"/>
      <c r="D74" s="31"/>
      <c r="E74" s="69"/>
      <c r="F74" s="30"/>
      <c r="G74" s="5"/>
      <c r="H74" s="31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71.25">
      <c r="A75" s="89" t="s">
        <v>67</v>
      </c>
      <c r="B75" s="65" t="s">
        <v>22</v>
      </c>
      <c r="C75" s="30"/>
      <c r="D75" s="31"/>
      <c r="E75" s="69"/>
      <c r="F75" s="30"/>
      <c r="G75" s="5"/>
      <c r="H75" s="31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42.75">
      <c r="A76" s="89" t="s">
        <v>68</v>
      </c>
      <c r="B76" s="65" t="s">
        <v>8</v>
      </c>
      <c r="C76" s="30"/>
      <c r="D76" s="31"/>
      <c r="E76" s="69"/>
      <c r="F76" s="30"/>
      <c r="G76" s="5"/>
      <c r="H76" s="31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42.75">
      <c r="A77" s="89" t="s">
        <v>69</v>
      </c>
      <c r="B77" s="65" t="s">
        <v>8</v>
      </c>
      <c r="C77" s="30"/>
      <c r="D77" s="31"/>
      <c r="E77" s="69"/>
      <c r="F77" s="30"/>
      <c r="G77" s="5"/>
      <c r="H77" s="31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57">
      <c r="A78" s="89" t="s">
        <v>70</v>
      </c>
      <c r="B78" s="65" t="s">
        <v>22</v>
      </c>
      <c r="C78" s="30"/>
      <c r="D78" s="31"/>
      <c r="E78" s="69"/>
      <c r="F78" s="30"/>
      <c r="G78" s="5"/>
      <c r="H78" s="31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28.5">
      <c r="A79" s="89" t="s">
        <v>71</v>
      </c>
      <c r="B79" s="65" t="s">
        <v>8</v>
      </c>
      <c r="C79" s="30"/>
      <c r="D79" s="31"/>
      <c r="E79" s="69"/>
      <c r="F79" s="30"/>
      <c r="G79" s="5"/>
      <c r="H79" s="31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28.5">
      <c r="A80" s="89" t="s">
        <v>72</v>
      </c>
      <c r="B80" s="65" t="s">
        <v>8</v>
      </c>
      <c r="C80" s="30"/>
      <c r="D80" s="31"/>
      <c r="E80" s="69"/>
      <c r="F80" s="30"/>
      <c r="G80" s="5"/>
      <c r="H80" s="31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42.75">
      <c r="A81" s="89" t="s">
        <v>73</v>
      </c>
      <c r="B81" s="65" t="s">
        <v>22</v>
      </c>
      <c r="C81" s="30"/>
      <c r="D81" s="31"/>
      <c r="E81" s="69"/>
      <c r="F81" s="30"/>
      <c r="G81" s="5"/>
      <c r="H81" s="31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4.25">
      <c r="A82" s="89" t="s">
        <v>74</v>
      </c>
      <c r="B82" s="65" t="s">
        <v>8</v>
      </c>
      <c r="C82" s="30"/>
      <c r="D82" s="31"/>
      <c r="E82" s="69"/>
      <c r="F82" s="30"/>
      <c r="G82" s="5"/>
      <c r="H82" s="31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4.25">
      <c r="A83" s="89" t="s">
        <v>75</v>
      </c>
      <c r="B83" s="65" t="s">
        <v>8</v>
      </c>
      <c r="C83" s="30"/>
      <c r="D83" s="31"/>
      <c r="E83" s="69"/>
      <c r="F83" s="30"/>
      <c r="G83" s="5"/>
      <c r="H83" s="31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35.25" customHeight="1">
      <c r="A84" s="93" t="s">
        <v>367</v>
      </c>
      <c r="B84" s="65"/>
      <c r="C84" s="30"/>
      <c r="D84" s="31"/>
      <c r="E84" s="69"/>
      <c r="F84" s="30"/>
      <c r="G84" s="5"/>
      <c r="H84" s="31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57.75">
      <c r="A85" s="89" t="s">
        <v>77</v>
      </c>
      <c r="B85" s="65" t="s">
        <v>22</v>
      </c>
      <c r="C85" s="30"/>
      <c r="D85" s="31"/>
      <c r="E85" s="69"/>
      <c r="F85" s="30"/>
      <c r="G85" s="5"/>
      <c r="H85" s="31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28.5">
      <c r="A86" s="89" t="s">
        <v>78</v>
      </c>
      <c r="B86" s="65" t="s">
        <v>8</v>
      </c>
      <c r="C86" s="30"/>
      <c r="D86" s="31"/>
      <c r="E86" s="69"/>
      <c r="F86" s="30"/>
      <c r="G86" s="5"/>
      <c r="H86" s="31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28.5">
      <c r="A87" s="89" t="s">
        <v>79</v>
      </c>
      <c r="B87" s="65" t="s">
        <v>8</v>
      </c>
      <c r="C87" s="30"/>
      <c r="D87" s="31"/>
      <c r="E87" s="69"/>
      <c r="F87" s="30"/>
      <c r="G87" s="5"/>
      <c r="H87" s="31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4.25">
      <c r="A88" s="89"/>
      <c r="B88" s="65"/>
      <c r="C88" s="30"/>
      <c r="D88" s="31"/>
      <c r="E88" s="69"/>
      <c r="F88" s="30"/>
      <c r="G88" s="5"/>
      <c r="H88" s="31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8" ht="14.25">
      <c r="A89" s="92" t="s">
        <v>365</v>
      </c>
      <c r="B89" s="26"/>
      <c r="C89" s="36"/>
      <c r="D89" s="37"/>
      <c r="E89" s="72"/>
      <c r="F89" s="36"/>
      <c r="G89" s="23"/>
      <c r="H89" s="37"/>
    </row>
    <row r="90" spans="1:21" ht="15">
      <c r="A90" s="93" t="s">
        <v>20</v>
      </c>
      <c r="B90" s="65"/>
      <c r="C90" s="30"/>
      <c r="D90" s="31"/>
      <c r="E90" s="69"/>
      <c r="F90" s="30"/>
      <c r="G90" s="5"/>
      <c r="H90" s="31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71.25">
      <c r="A91" s="89" t="s">
        <v>361</v>
      </c>
      <c r="B91" s="65" t="s">
        <v>8</v>
      </c>
      <c r="C91" s="30"/>
      <c r="D91" s="31"/>
      <c r="E91" s="69"/>
      <c r="F91" s="30"/>
      <c r="G91" s="5"/>
      <c r="H91" s="31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30">
      <c r="A92" s="93" t="s">
        <v>362</v>
      </c>
      <c r="B92" s="65"/>
      <c r="C92" s="30"/>
      <c r="D92" s="31"/>
      <c r="E92" s="69"/>
      <c r="F92" s="30"/>
      <c r="G92" s="5"/>
      <c r="H92" s="31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42.75">
      <c r="A93" s="89" t="s">
        <v>21</v>
      </c>
      <c r="B93" s="65" t="s">
        <v>22</v>
      </c>
      <c r="C93" s="38"/>
      <c r="D93" s="39"/>
      <c r="E93" s="73"/>
      <c r="F93" s="38"/>
      <c r="G93" s="8"/>
      <c r="H93" s="39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4.25">
      <c r="A94" s="89" t="s">
        <v>23</v>
      </c>
      <c r="B94" s="65" t="s">
        <v>8</v>
      </c>
      <c r="C94" s="38"/>
      <c r="D94" s="39"/>
      <c r="E94" s="73"/>
      <c r="F94" s="38"/>
      <c r="G94" s="8"/>
      <c r="H94" s="39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4.25">
      <c r="A95" s="89" t="s">
        <v>24</v>
      </c>
      <c r="B95" s="65" t="s">
        <v>8</v>
      </c>
      <c r="C95" s="38"/>
      <c r="D95" s="39"/>
      <c r="E95" s="73"/>
      <c r="F95" s="38"/>
      <c r="G95" s="8"/>
      <c r="H95" s="39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57">
      <c r="A96" s="89" t="s">
        <v>25</v>
      </c>
      <c r="B96" s="65" t="s">
        <v>22</v>
      </c>
      <c r="C96" s="30"/>
      <c r="D96" s="31"/>
      <c r="E96" s="69"/>
      <c r="F96" s="30"/>
      <c r="G96" s="5"/>
      <c r="H96" s="31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28.5">
      <c r="A97" s="89" t="s">
        <v>26</v>
      </c>
      <c r="B97" s="65" t="s">
        <v>8</v>
      </c>
      <c r="C97" s="30"/>
      <c r="D97" s="31"/>
      <c r="E97" s="69"/>
      <c r="F97" s="30"/>
      <c r="G97" s="5"/>
      <c r="H97" s="31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28.5">
      <c r="A98" s="89" t="s">
        <v>27</v>
      </c>
      <c r="B98" s="65" t="s">
        <v>8</v>
      </c>
      <c r="C98" s="30"/>
      <c r="D98" s="31"/>
      <c r="E98" s="69"/>
      <c r="F98" s="30"/>
      <c r="G98" s="5"/>
      <c r="H98" s="31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57">
      <c r="A99" s="89" t="s">
        <v>28</v>
      </c>
      <c r="B99" s="65" t="s">
        <v>22</v>
      </c>
      <c r="C99" s="30"/>
      <c r="D99" s="31"/>
      <c r="E99" s="69"/>
      <c r="F99" s="30"/>
      <c r="G99" s="5"/>
      <c r="H99" s="31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28.5">
      <c r="A100" s="89" t="s">
        <v>29</v>
      </c>
      <c r="B100" s="65" t="s">
        <v>8</v>
      </c>
      <c r="C100" s="30"/>
      <c r="D100" s="31"/>
      <c r="E100" s="69"/>
      <c r="F100" s="30"/>
      <c r="G100" s="5"/>
      <c r="H100" s="31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75" customHeight="1">
      <c r="A101" s="143" t="s">
        <v>30</v>
      </c>
      <c r="B101" s="144" t="s">
        <v>8</v>
      </c>
      <c r="C101" s="145"/>
      <c r="D101" s="146"/>
      <c r="E101" s="147"/>
      <c r="F101" s="145"/>
      <c r="G101" s="148"/>
      <c r="H101" s="14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75" customHeight="1">
      <c r="A102" s="143"/>
      <c r="B102" s="144"/>
      <c r="C102" s="145"/>
      <c r="D102" s="146"/>
      <c r="E102" s="147"/>
      <c r="F102" s="145"/>
      <c r="G102" s="148"/>
      <c r="H102" s="14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30">
      <c r="A103" s="93" t="s">
        <v>363</v>
      </c>
      <c r="B103" s="65"/>
      <c r="C103" s="30"/>
      <c r="D103" s="31"/>
      <c r="E103" s="69"/>
      <c r="F103" s="30"/>
      <c r="G103" s="5"/>
      <c r="H103" s="31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57">
      <c r="A104" s="89" t="s">
        <v>31</v>
      </c>
      <c r="B104" s="65" t="s">
        <v>22</v>
      </c>
      <c r="C104" s="30"/>
      <c r="D104" s="31"/>
      <c r="E104" s="69"/>
      <c r="F104" s="30"/>
      <c r="G104" s="5"/>
      <c r="H104" s="31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28.5">
      <c r="A105" s="89" t="s">
        <v>32</v>
      </c>
      <c r="B105" s="65" t="s">
        <v>8</v>
      </c>
      <c r="C105" s="30"/>
      <c r="D105" s="31"/>
      <c r="E105" s="69"/>
      <c r="F105" s="30"/>
      <c r="G105" s="5"/>
      <c r="H105" s="31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4.25">
      <c r="A106" s="89" t="s">
        <v>33</v>
      </c>
      <c r="B106" s="65" t="s">
        <v>8</v>
      </c>
      <c r="C106" s="30"/>
      <c r="D106" s="31"/>
      <c r="E106" s="69"/>
      <c r="F106" s="30"/>
      <c r="G106" s="5"/>
      <c r="H106" s="31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57">
      <c r="A107" s="89" t="s">
        <v>34</v>
      </c>
      <c r="B107" s="65" t="s">
        <v>22</v>
      </c>
      <c r="C107" s="30"/>
      <c r="D107" s="31"/>
      <c r="E107" s="69"/>
      <c r="F107" s="30"/>
      <c r="G107" s="5"/>
      <c r="H107" s="31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28.5">
      <c r="A108" s="89" t="s">
        <v>35</v>
      </c>
      <c r="B108" s="65" t="s">
        <v>8</v>
      </c>
      <c r="C108" s="30"/>
      <c r="D108" s="31"/>
      <c r="E108" s="69"/>
      <c r="F108" s="30"/>
      <c r="G108" s="5"/>
      <c r="H108" s="31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28.5">
      <c r="A109" s="89" t="s">
        <v>36</v>
      </c>
      <c r="B109" s="65" t="s">
        <v>8</v>
      </c>
      <c r="C109" s="30"/>
      <c r="D109" s="31"/>
      <c r="E109" s="69"/>
      <c r="F109" s="30"/>
      <c r="G109" s="5"/>
      <c r="H109" s="31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57">
      <c r="A110" s="89" t="s">
        <v>37</v>
      </c>
      <c r="B110" s="65" t="s">
        <v>22</v>
      </c>
      <c r="C110" s="30"/>
      <c r="D110" s="31"/>
      <c r="E110" s="69"/>
      <c r="F110" s="30"/>
      <c r="G110" s="5"/>
      <c r="H110" s="31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28.5">
      <c r="A111" s="89" t="s">
        <v>38</v>
      </c>
      <c r="B111" s="65" t="s">
        <v>8</v>
      </c>
      <c r="C111" s="30"/>
      <c r="D111" s="31"/>
      <c r="E111" s="69"/>
      <c r="F111" s="30"/>
      <c r="G111" s="5"/>
      <c r="H111" s="31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28.5">
      <c r="A112" s="89" t="s">
        <v>39</v>
      </c>
      <c r="B112" s="65" t="s">
        <v>8</v>
      </c>
      <c r="C112" s="30"/>
      <c r="D112" s="31"/>
      <c r="E112" s="69"/>
      <c r="F112" s="30"/>
      <c r="G112" s="5"/>
      <c r="H112" s="31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57">
      <c r="A113" s="89" t="s">
        <v>40</v>
      </c>
      <c r="B113" s="65" t="s">
        <v>22</v>
      </c>
      <c r="C113" s="30"/>
      <c r="D113" s="31"/>
      <c r="E113" s="69"/>
      <c r="F113" s="30"/>
      <c r="G113" s="5"/>
      <c r="H113" s="31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28.5">
      <c r="A114" s="89" t="s">
        <v>41</v>
      </c>
      <c r="B114" s="65" t="s">
        <v>8</v>
      </c>
      <c r="C114" s="30"/>
      <c r="D114" s="31"/>
      <c r="E114" s="69"/>
      <c r="F114" s="30"/>
      <c r="G114" s="5"/>
      <c r="H114" s="31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28.5">
      <c r="A115" s="89" t="s">
        <v>42</v>
      </c>
      <c r="B115" s="65" t="s">
        <v>8</v>
      </c>
      <c r="C115" s="30"/>
      <c r="D115" s="31"/>
      <c r="E115" s="69"/>
      <c r="F115" s="30"/>
      <c r="G115" s="5"/>
      <c r="H115" s="31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57">
      <c r="A116" s="89" t="s">
        <v>43</v>
      </c>
      <c r="B116" s="65" t="s">
        <v>22</v>
      </c>
      <c r="C116" s="30"/>
      <c r="D116" s="31"/>
      <c r="E116" s="69"/>
      <c r="F116" s="30"/>
      <c r="G116" s="5"/>
      <c r="H116" s="31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28.5">
      <c r="A117" s="89" t="s">
        <v>44</v>
      </c>
      <c r="B117" s="65" t="s">
        <v>8</v>
      </c>
      <c r="C117" s="30"/>
      <c r="D117" s="31"/>
      <c r="E117" s="69"/>
      <c r="F117" s="30"/>
      <c r="G117" s="5"/>
      <c r="H117" s="31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28.5">
      <c r="A118" s="89" t="s">
        <v>45</v>
      </c>
      <c r="B118" s="65" t="s">
        <v>8</v>
      </c>
      <c r="C118" s="30"/>
      <c r="D118" s="31"/>
      <c r="E118" s="69"/>
      <c r="F118" s="30"/>
      <c r="G118" s="5"/>
      <c r="H118" s="31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71.25">
      <c r="A119" s="89" t="s">
        <v>46</v>
      </c>
      <c r="B119" s="65" t="s">
        <v>22</v>
      </c>
      <c r="C119" s="30"/>
      <c r="D119" s="31"/>
      <c r="E119" s="69"/>
      <c r="F119" s="30"/>
      <c r="G119" s="5"/>
      <c r="H119" s="31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42.75">
      <c r="A120" s="89" t="s">
        <v>47</v>
      </c>
      <c r="B120" s="65" t="s">
        <v>8</v>
      </c>
      <c r="C120" s="30"/>
      <c r="D120" s="31"/>
      <c r="E120" s="69"/>
      <c r="F120" s="30"/>
      <c r="G120" s="5"/>
      <c r="H120" s="31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42.75">
      <c r="A121" s="89" t="s">
        <v>48</v>
      </c>
      <c r="B121" s="65" t="s">
        <v>8</v>
      </c>
      <c r="C121" s="30"/>
      <c r="D121" s="31"/>
      <c r="E121" s="69"/>
      <c r="F121" s="30"/>
      <c r="G121" s="5"/>
      <c r="H121" s="31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57">
      <c r="A122" s="89" t="s">
        <v>49</v>
      </c>
      <c r="B122" s="65" t="s">
        <v>22</v>
      </c>
      <c r="C122" s="30"/>
      <c r="D122" s="31"/>
      <c r="E122" s="69"/>
      <c r="F122" s="30"/>
      <c r="G122" s="5"/>
      <c r="H122" s="31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28.5">
      <c r="A123" s="89" t="s">
        <v>50</v>
      </c>
      <c r="B123" s="65" t="s">
        <v>8</v>
      </c>
      <c r="C123" s="30"/>
      <c r="D123" s="31"/>
      <c r="E123" s="69"/>
      <c r="F123" s="30"/>
      <c r="G123" s="5"/>
      <c r="H123" s="31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28.5">
      <c r="A124" s="89" t="s">
        <v>51</v>
      </c>
      <c r="B124" s="65" t="s">
        <v>8</v>
      </c>
      <c r="C124" s="30"/>
      <c r="D124" s="31"/>
      <c r="E124" s="69"/>
      <c r="F124" s="30"/>
      <c r="G124" s="5"/>
      <c r="H124" s="31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57">
      <c r="A125" s="89" t="s">
        <v>52</v>
      </c>
      <c r="B125" s="65" t="s">
        <v>22</v>
      </c>
      <c r="C125" s="30"/>
      <c r="D125" s="31"/>
      <c r="E125" s="69"/>
      <c r="F125" s="30"/>
      <c r="G125" s="5"/>
      <c r="H125" s="31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4.25">
      <c r="A126" s="89" t="s">
        <v>53</v>
      </c>
      <c r="B126" s="65" t="s">
        <v>8</v>
      </c>
      <c r="C126" s="30"/>
      <c r="D126" s="31"/>
      <c r="E126" s="69"/>
      <c r="F126" s="30"/>
      <c r="G126" s="5"/>
      <c r="H126" s="31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4.25">
      <c r="A127" s="89" t="s">
        <v>54</v>
      </c>
      <c r="B127" s="65" t="s">
        <v>8</v>
      </c>
      <c r="C127" s="30"/>
      <c r="D127" s="31"/>
      <c r="E127" s="69"/>
      <c r="F127" s="30"/>
      <c r="G127" s="5"/>
      <c r="H127" s="31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57">
      <c r="A128" s="89" t="s">
        <v>55</v>
      </c>
      <c r="B128" s="65" t="s">
        <v>22</v>
      </c>
      <c r="C128" s="30"/>
      <c r="D128" s="31"/>
      <c r="E128" s="69"/>
      <c r="F128" s="30"/>
      <c r="G128" s="5"/>
      <c r="H128" s="31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28.5">
      <c r="A129" s="89" t="s">
        <v>56</v>
      </c>
      <c r="B129" s="65" t="s">
        <v>8</v>
      </c>
      <c r="C129" s="30"/>
      <c r="D129" s="31"/>
      <c r="E129" s="69"/>
      <c r="F129" s="30"/>
      <c r="G129" s="5"/>
      <c r="H129" s="31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28.5">
      <c r="A130" s="89" t="s">
        <v>57</v>
      </c>
      <c r="B130" s="65" t="s">
        <v>8</v>
      </c>
      <c r="C130" s="30"/>
      <c r="D130" s="31"/>
      <c r="E130" s="69"/>
      <c r="F130" s="30"/>
      <c r="G130" s="5"/>
      <c r="H130" s="31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57">
      <c r="A131" s="89" t="s">
        <v>58</v>
      </c>
      <c r="B131" s="65" t="s">
        <v>22</v>
      </c>
      <c r="C131" s="30"/>
      <c r="D131" s="31"/>
      <c r="E131" s="69"/>
      <c r="F131" s="30"/>
      <c r="G131" s="5"/>
      <c r="H131" s="31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28.5">
      <c r="A132" s="89" t="s">
        <v>59</v>
      </c>
      <c r="B132" s="65" t="s">
        <v>8</v>
      </c>
      <c r="C132" s="30"/>
      <c r="D132" s="31"/>
      <c r="E132" s="69"/>
      <c r="F132" s="30"/>
      <c r="G132" s="5"/>
      <c r="H132" s="31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28.5">
      <c r="A133" s="89" t="s">
        <v>60</v>
      </c>
      <c r="B133" s="65" t="s">
        <v>8</v>
      </c>
      <c r="C133" s="30"/>
      <c r="D133" s="31"/>
      <c r="E133" s="69"/>
      <c r="F133" s="30"/>
      <c r="G133" s="5"/>
      <c r="H133" s="31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71.25">
      <c r="A134" s="89" t="s">
        <v>61</v>
      </c>
      <c r="B134" s="65" t="s">
        <v>22</v>
      </c>
      <c r="C134" s="30"/>
      <c r="D134" s="31"/>
      <c r="E134" s="69"/>
      <c r="F134" s="30"/>
      <c r="G134" s="5"/>
      <c r="H134" s="31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42.75">
      <c r="A135" s="89" t="s">
        <v>62</v>
      </c>
      <c r="B135" s="65" t="s">
        <v>8</v>
      </c>
      <c r="C135" s="30"/>
      <c r="D135" s="31"/>
      <c r="E135" s="69"/>
      <c r="F135" s="30"/>
      <c r="G135" s="5"/>
      <c r="H135" s="31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28.5">
      <c r="A136" s="89" t="s">
        <v>63</v>
      </c>
      <c r="B136" s="65" t="s">
        <v>8</v>
      </c>
      <c r="C136" s="30"/>
      <c r="D136" s="31"/>
      <c r="E136" s="69"/>
      <c r="F136" s="30"/>
      <c r="G136" s="5"/>
      <c r="H136" s="31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57" customHeight="1">
      <c r="A137" s="89" t="s">
        <v>64</v>
      </c>
      <c r="B137" s="65" t="s">
        <v>22</v>
      </c>
      <c r="C137" s="30"/>
      <c r="D137" s="31"/>
      <c r="E137" s="69"/>
      <c r="F137" s="30"/>
      <c r="G137" s="5"/>
      <c r="H137" s="31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28.5" customHeight="1">
      <c r="A138" s="89" t="s">
        <v>65</v>
      </c>
      <c r="B138" s="65" t="s">
        <v>8</v>
      </c>
      <c r="C138" s="30"/>
      <c r="D138" s="31"/>
      <c r="E138" s="69"/>
      <c r="F138" s="30"/>
      <c r="G138" s="5"/>
      <c r="H138" s="31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28.5" customHeight="1">
      <c r="A139" s="89" t="s">
        <v>66</v>
      </c>
      <c r="B139" s="65" t="s">
        <v>8</v>
      </c>
      <c r="C139" s="30"/>
      <c r="D139" s="31"/>
      <c r="E139" s="69"/>
      <c r="F139" s="30"/>
      <c r="G139" s="5"/>
      <c r="H139" s="31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71.25">
      <c r="A140" s="89" t="s">
        <v>67</v>
      </c>
      <c r="B140" s="65" t="s">
        <v>22</v>
      </c>
      <c r="C140" s="30"/>
      <c r="D140" s="31"/>
      <c r="E140" s="69"/>
      <c r="F140" s="30"/>
      <c r="G140" s="5"/>
      <c r="H140" s="31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42.75">
      <c r="A141" s="89" t="s">
        <v>68</v>
      </c>
      <c r="B141" s="65" t="s">
        <v>8</v>
      </c>
      <c r="C141" s="30"/>
      <c r="D141" s="31"/>
      <c r="E141" s="69"/>
      <c r="F141" s="30"/>
      <c r="G141" s="5"/>
      <c r="H141" s="31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42.75">
      <c r="A142" s="89" t="s">
        <v>69</v>
      </c>
      <c r="B142" s="65" t="s">
        <v>8</v>
      </c>
      <c r="C142" s="30"/>
      <c r="D142" s="31"/>
      <c r="E142" s="69"/>
      <c r="F142" s="30"/>
      <c r="G142" s="5"/>
      <c r="H142" s="31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57">
      <c r="A143" s="89" t="s">
        <v>70</v>
      </c>
      <c r="B143" s="65" t="s">
        <v>22</v>
      </c>
      <c r="C143" s="30"/>
      <c r="D143" s="31"/>
      <c r="E143" s="69"/>
      <c r="F143" s="30"/>
      <c r="G143" s="5"/>
      <c r="H143" s="31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28.5">
      <c r="A144" s="89" t="s">
        <v>71</v>
      </c>
      <c r="B144" s="65" t="s">
        <v>8</v>
      </c>
      <c r="C144" s="30"/>
      <c r="D144" s="31"/>
      <c r="E144" s="69"/>
      <c r="F144" s="30"/>
      <c r="G144" s="5"/>
      <c r="H144" s="31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28.5">
      <c r="A145" s="89" t="s">
        <v>72</v>
      </c>
      <c r="B145" s="65" t="s">
        <v>8</v>
      </c>
      <c r="C145" s="30"/>
      <c r="D145" s="31"/>
      <c r="E145" s="69"/>
      <c r="F145" s="30"/>
      <c r="G145" s="5"/>
      <c r="H145" s="31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42.75">
      <c r="A146" s="89" t="s">
        <v>73</v>
      </c>
      <c r="B146" s="65" t="s">
        <v>22</v>
      </c>
      <c r="C146" s="30"/>
      <c r="D146" s="31"/>
      <c r="E146" s="69"/>
      <c r="F146" s="30"/>
      <c r="G146" s="5"/>
      <c r="H146" s="31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4.25">
      <c r="A147" s="89" t="s">
        <v>74</v>
      </c>
      <c r="B147" s="65" t="s">
        <v>8</v>
      </c>
      <c r="C147" s="30"/>
      <c r="D147" s="31"/>
      <c r="E147" s="69"/>
      <c r="F147" s="30"/>
      <c r="G147" s="5"/>
      <c r="H147" s="31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4.25">
      <c r="A148" s="89" t="s">
        <v>75</v>
      </c>
      <c r="B148" s="65" t="s">
        <v>8</v>
      </c>
      <c r="C148" s="30"/>
      <c r="D148" s="31"/>
      <c r="E148" s="69"/>
      <c r="F148" s="30"/>
      <c r="G148" s="5"/>
      <c r="H148" s="31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45">
      <c r="A149" s="93" t="s">
        <v>364</v>
      </c>
      <c r="B149" s="65"/>
      <c r="C149" s="30"/>
      <c r="D149" s="31"/>
      <c r="E149" s="69"/>
      <c r="F149" s="30"/>
      <c r="G149" s="5"/>
      <c r="H149" s="31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57.75">
      <c r="A150" s="89" t="s">
        <v>77</v>
      </c>
      <c r="B150" s="65" t="s">
        <v>22</v>
      </c>
      <c r="C150" s="30"/>
      <c r="D150" s="31"/>
      <c r="E150" s="69"/>
      <c r="F150" s="30"/>
      <c r="G150" s="5"/>
      <c r="H150" s="31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28.5">
      <c r="A151" s="89" t="s">
        <v>78</v>
      </c>
      <c r="B151" s="65" t="s">
        <v>8</v>
      </c>
      <c r="C151" s="30"/>
      <c r="D151" s="31"/>
      <c r="E151" s="69"/>
      <c r="F151" s="30"/>
      <c r="G151" s="5"/>
      <c r="H151" s="31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28.5">
      <c r="A152" s="89" t="s">
        <v>79</v>
      </c>
      <c r="B152" s="65" t="s">
        <v>8</v>
      </c>
      <c r="C152" s="30"/>
      <c r="D152" s="31"/>
      <c r="E152" s="69"/>
      <c r="F152" s="30"/>
      <c r="G152" s="5"/>
      <c r="H152" s="31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5.75">
      <c r="A153" s="93" t="s">
        <v>80</v>
      </c>
      <c r="B153" s="65"/>
      <c r="C153" s="30"/>
      <c r="D153" s="31"/>
      <c r="E153" s="69"/>
      <c r="F153" s="30"/>
      <c r="G153" s="5"/>
      <c r="H153" s="31"/>
      <c r="I153" s="22" t="s">
        <v>398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28.5">
      <c r="A154" s="89" t="s">
        <v>81</v>
      </c>
      <c r="B154" s="65" t="s">
        <v>82</v>
      </c>
      <c r="C154" s="30"/>
      <c r="D154" s="31"/>
      <c r="E154" s="69"/>
      <c r="F154" s="30"/>
      <c r="G154" s="8"/>
      <c r="H154" s="39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28.5">
      <c r="A155" s="89" t="s">
        <v>83</v>
      </c>
      <c r="B155" s="65" t="s">
        <v>8</v>
      </c>
      <c r="C155" s="30"/>
      <c r="D155" s="31"/>
      <c r="E155" s="69"/>
      <c r="F155" s="30"/>
      <c r="G155" s="5"/>
      <c r="H155" s="31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28.5">
      <c r="A156" s="89" t="s">
        <v>84</v>
      </c>
      <c r="B156" s="65" t="s">
        <v>8</v>
      </c>
      <c r="C156" s="30"/>
      <c r="D156" s="31"/>
      <c r="E156" s="69"/>
      <c r="F156" s="30"/>
      <c r="G156" s="5"/>
      <c r="H156" s="31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9.5">
      <c r="A157" s="89" t="s">
        <v>85</v>
      </c>
      <c r="B157" s="65" t="s">
        <v>22</v>
      </c>
      <c r="C157" s="30"/>
      <c r="D157" s="31"/>
      <c r="E157" s="69"/>
      <c r="F157" s="30"/>
      <c r="G157" s="5"/>
      <c r="H157" s="31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28.5">
      <c r="A158" s="89" t="s">
        <v>86</v>
      </c>
      <c r="B158" s="65" t="s">
        <v>8</v>
      </c>
      <c r="C158" s="30"/>
      <c r="D158" s="31"/>
      <c r="E158" s="69"/>
      <c r="F158" s="30"/>
      <c r="G158" s="5"/>
      <c r="H158" s="31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28.5">
      <c r="A159" s="89" t="s">
        <v>87</v>
      </c>
      <c r="B159" s="65" t="s">
        <v>22</v>
      </c>
      <c r="C159" s="30"/>
      <c r="D159" s="31"/>
      <c r="E159" s="69"/>
      <c r="F159" s="30"/>
      <c r="G159" s="5"/>
      <c r="H159" s="31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42.75">
      <c r="A160" s="89" t="s">
        <v>88</v>
      </c>
      <c r="B160" s="65" t="s">
        <v>8</v>
      </c>
      <c r="C160" s="30"/>
      <c r="D160" s="31"/>
      <c r="E160" s="69"/>
      <c r="F160" s="30"/>
      <c r="G160" s="5"/>
      <c r="H160" s="31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9.5">
      <c r="A161" s="89" t="s">
        <v>89</v>
      </c>
      <c r="B161" s="65" t="s">
        <v>22</v>
      </c>
      <c r="C161" s="30"/>
      <c r="D161" s="31"/>
      <c r="E161" s="69"/>
      <c r="F161" s="30"/>
      <c r="G161" s="5"/>
      <c r="H161" s="31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28.5">
      <c r="A162" s="89" t="s">
        <v>90</v>
      </c>
      <c r="B162" s="65" t="s">
        <v>8</v>
      </c>
      <c r="C162" s="30"/>
      <c r="D162" s="31"/>
      <c r="E162" s="69"/>
      <c r="F162" s="30"/>
      <c r="G162" s="5"/>
      <c r="H162" s="31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30">
      <c r="A163" s="93" t="s">
        <v>91</v>
      </c>
      <c r="B163" s="65"/>
      <c r="C163" s="30"/>
      <c r="D163" s="31"/>
      <c r="E163" s="69"/>
      <c r="F163" s="30"/>
      <c r="G163" s="5"/>
      <c r="H163" s="31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4.25">
      <c r="A164" s="89" t="s">
        <v>92</v>
      </c>
      <c r="B164" s="65" t="s">
        <v>93</v>
      </c>
      <c r="C164" s="30"/>
      <c r="D164" s="39"/>
      <c r="E164" s="73"/>
      <c r="F164" s="40"/>
      <c r="G164" s="9"/>
      <c r="H164" s="41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4.25">
      <c r="A165" s="90" t="s">
        <v>374</v>
      </c>
      <c r="B165" s="66"/>
      <c r="C165" s="30"/>
      <c r="D165" s="39"/>
      <c r="E165" s="73"/>
      <c r="F165" s="40"/>
      <c r="G165" s="9"/>
      <c r="H165" s="41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4.25">
      <c r="A166" s="91" t="s">
        <v>375</v>
      </c>
      <c r="B166" s="65" t="s">
        <v>93</v>
      </c>
      <c r="C166" s="30"/>
      <c r="D166" s="39"/>
      <c r="E166" s="73"/>
      <c r="F166" s="40"/>
      <c r="G166" s="9"/>
      <c r="H166" s="41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4.25">
      <c r="A167" s="89" t="s">
        <v>94</v>
      </c>
      <c r="B167" s="65" t="s">
        <v>93</v>
      </c>
      <c r="C167" s="30"/>
      <c r="D167" s="39"/>
      <c r="E167" s="73"/>
      <c r="F167" s="42"/>
      <c r="G167" s="10"/>
      <c r="H167" s="43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4.25">
      <c r="A168" s="89" t="s">
        <v>95</v>
      </c>
      <c r="B168" s="65" t="s">
        <v>93</v>
      </c>
      <c r="C168" s="30"/>
      <c r="D168" s="39"/>
      <c r="E168" s="73"/>
      <c r="F168" s="40"/>
      <c r="G168" s="9"/>
      <c r="H168" s="41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4.25">
      <c r="A169" s="89" t="s">
        <v>96</v>
      </c>
      <c r="B169" s="65" t="s">
        <v>93</v>
      </c>
      <c r="C169" s="30"/>
      <c r="D169" s="39"/>
      <c r="E169" s="73"/>
      <c r="F169" s="40"/>
      <c r="G169" s="9"/>
      <c r="H169" s="41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4.25">
      <c r="A170" s="89" t="s">
        <v>97</v>
      </c>
      <c r="B170" s="65" t="s">
        <v>93</v>
      </c>
      <c r="C170" s="30"/>
      <c r="D170" s="39"/>
      <c r="E170" s="73"/>
      <c r="F170" s="40"/>
      <c r="G170" s="9"/>
      <c r="H170" s="41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4.25">
      <c r="A171" s="89" t="s">
        <v>370</v>
      </c>
      <c r="B171" s="65" t="s">
        <v>98</v>
      </c>
      <c r="C171" s="30"/>
      <c r="D171" s="39"/>
      <c r="E171" s="73"/>
      <c r="F171" s="40"/>
      <c r="G171" s="9"/>
      <c r="H171" s="41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4.25">
      <c r="A172" s="90" t="s">
        <v>122</v>
      </c>
      <c r="B172" s="65"/>
      <c r="C172" s="30"/>
      <c r="D172" s="31"/>
      <c r="E172" s="69"/>
      <c r="F172" s="30"/>
      <c r="G172" s="5"/>
      <c r="H172" s="31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5">
      <c r="A173" s="94" t="s">
        <v>368</v>
      </c>
      <c r="B173" s="65"/>
      <c r="C173" s="30"/>
      <c r="D173" s="31"/>
      <c r="E173" s="69"/>
      <c r="F173" s="30"/>
      <c r="G173" s="5"/>
      <c r="H173" s="31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4.25">
      <c r="A174" s="91" t="s">
        <v>92</v>
      </c>
      <c r="B174" s="65" t="s">
        <v>93</v>
      </c>
      <c r="C174" s="83"/>
      <c r="D174" s="84"/>
      <c r="E174" s="74"/>
      <c r="F174" s="44"/>
      <c r="G174" s="11"/>
      <c r="H174" s="45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4.25">
      <c r="A175" s="90" t="s">
        <v>374</v>
      </c>
      <c r="B175" s="66"/>
      <c r="C175" s="83"/>
      <c r="D175" s="84"/>
      <c r="E175" s="74"/>
      <c r="F175" s="44"/>
      <c r="G175" s="11"/>
      <c r="H175" s="45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4.25">
      <c r="A176" s="91" t="s">
        <v>375</v>
      </c>
      <c r="B176" s="65" t="s">
        <v>93</v>
      </c>
      <c r="C176" s="83"/>
      <c r="D176" s="84"/>
      <c r="E176" s="74"/>
      <c r="F176" s="44"/>
      <c r="G176" s="11"/>
      <c r="H176" s="45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4.25">
      <c r="A177" s="91" t="s">
        <v>94</v>
      </c>
      <c r="B177" s="65" t="s">
        <v>93</v>
      </c>
      <c r="C177" s="83"/>
      <c r="D177" s="84"/>
      <c r="E177" s="74"/>
      <c r="F177" s="44"/>
      <c r="G177" s="11"/>
      <c r="H177" s="45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4.25">
      <c r="A178" s="91" t="s">
        <v>95</v>
      </c>
      <c r="B178" s="65" t="s">
        <v>93</v>
      </c>
      <c r="C178" s="83"/>
      <c r="D178" s="84"/>
      <c r="E178" s="74"/>
      <c r="F178" s="44"/>
      <c r="G178" s="11"/>
      <c r="H178" s="45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4.25">
      <c r="A179" s="91" t="s">
        <v>96</v>
      </c>
      <c r="B179" s="65" t="s">
        <v>93</v>
      </c>
      <c r="C179" s="83"/>
      <c r="D179" s="84"/>
      <c r="E179" s="74"/>
      <c r="F179" s="44"/>
      <c r="G179" s="11"/>
      <c r="H179" s="45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4.25">
      <c r="A180" s="91" t="s">
        <v>97</v>
      </c>
      <c r="B180" s="65" t="s">
        <v>93</v>
      </c>
      <c r="C180" s="83"/>
      <c r="D180" s="84"/>
      <c r="E180" s="74"/>
      <c r="F180" s="44"/>
      <c r="G180" s="11"/>
      <c r="H180" s="45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4.25">
      <c r="A181" s="91" t="s">
        <v>370</v>
      </c>
      <c r="B181" s="65" t="s">
        <v>98</v>
      </c>
      <c r="C181" s="30"/>
      <c r="D181" s="31"/>
      <c r="E181" s="69"/>
      <c r="F181" s="30"/>
      <c r="G181" s="5"/>
      <c r="H181" s="31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5">
      <c r="A182" s="94" t="s">
        <v>99</v>
      </c>
      <c r="B182" s="65"/>
      <c r="C182" s="30"/>
      <c r="D182" s="31"/>
      <c r="E182" s="69"/>
      <c r="F182" s="30"/>
      <c r="G182" s="5"/>
      <c r="H182" s="31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4.25">
      <c r="A183" s="91" t="s">
        <v>92</v>
      </c>
      <c r="B183" s="65" t="s">
        <v>93</v>
      </c>
      <c r="C183" s="30"/>
      <c r="D183" s="31"/>
      <c r="E183" s="69"/>
      <c r="F183" s="30"/>
      <c r="G183" s="5"/>
      <c r="H183" s="31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4.25">
      <c r="A184" s="90" t="s">
        <v>374</v>
      </c>
      <c r="B184" s="65"/>
      <c r="C184" s="30"/>
      <c r="D184" s="31"/>
      <c r="E184" s="69"/>
      <c r="F184" s="30"/>
      <c r="G184" s="5"/>
      <c r="H184" s="31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4.25">
      <c r="A185" s="91" t="s">
        <v>375</v>
      </c>
      <c r="B185" s="65" t="s">
        <v>93</v>
      </c>
      <c r="C185" s="30"/>
      <c r="D185" s="31"/>
      <c r="E185" s="69"/>
      <c r="F185" s="30"/>
      <c r="G185" s="5"/>
      <c r="H185" s="31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4.25">
      <c r="A186" s="91" t="s">
        <v>94</v>
      </c>
      <c r="B186" s="65" t="s">
        <v>93</v>
      </c>
      <c r="C186" s="83"/>
      <c r="D186" s="84"/>
      <c r="E186" s="74"/>
      <c r="F186" s="44"/>
      <c r="G186" s="11"/>
      <c r="H186" s="45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4.25">
      <c r="A187" s="91" t="s">
        <v>95</v>
      </c>
      <c r="B187" s="65" t="s">
        <v>93</v>
      </c>
      <c r="C187" s="83"/>
      <c r="D187" s="84"/>
      <c r="E187" s="74"/>
      <c r="F187" s="44"/>
      <c r="G187" s="11"/>
      <c r="H187" s="45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4.25">
      <c r="A188" s="91" t="s">
        <v>96</v>
      </c>
      <c r="B188" s="65" t="s">
        <v>93</v>
      </c>
      <c r="C188" s="83"/>
      <c r="D188" s="84"/>
      <c r="E188" s="74"/>
      <c r="F188" s="44"/>
      <c r="G188" s="11"/>
      <c r="H188" s="45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4.25">
      <c r="A189" s="91" t="s">
        <v>97</v>
      </c>
      <c r="B189" s="65" t="s">
        <v>93</v>
      </c>
      <c r="C189" s="83"/>
      <c r="D189" s="84"/>
      <c r="E189" s="74"/>
      <c r="F189" s="44"/>
      <c r="G189" s="11"/>
      <c r="H189" s="45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4.25">
      <c r="A190" s="91" t="s">
        <v>370</v>
      </c>
      <c r="B190" s="65" t="s">
        <v>98</v>
      </c>
      <c r="C190" s="83"/>
      <c r="D190" s="84"/>
      <c r="E190" s="74"/>
      <c r="F190" s="44"/>
      <c r="G190" s="11"/>
      <c r="H190" s="45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5">
      <c r="A191" s="94" t="s">
        <v>369</v>
      </c>
      <c r="B191" s="65"/>
      <c r="C191" s="30"/>
      <c r="D191" s="31"/>
      <c r="E191" s="69"/>
      <c r="F191" s="30"/>
      <c r="G191" s="5"/>
      <c r="H191" s="31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4.25">
      <c r="A192" s="91" t="s">
        <v>92</v>
      </c>
      <c r="B192" s="65" t="s">
        <v>93</v>
      </c>
      <c r="C192" s="83"/>
      <c r="D192" s="84"/>
      <c r="E192" s="74"/>
      <c r="F192" s="44"/>
      <c r="G192" s="11"/>
      <c r="H192" s="45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4.25">
      <c r="A193" s="90" t="s">
        <v>374</v>
      </c>
      <c r="B193" s="65"/>
      <c r="C193" s="83"/>
      <c r="D193" s="84"/>
      <c r="E193" s="74"/>
      <c r="F193" s="44"/>
      <c r="G193" s="11"/>
      <c r="H193" s="45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4.25">
      <c r="A194" s="91" t="s">
        <v>375</v>
      </c>
      <c r="B194" s="65" t="s">
        <v>93</v>
      </c>
      <c r="C194" s="83"/>
      <c r="D194" s="84"/>
      <c r="E194" s="74"/>
      <c r="F194" s="44"/>
      <c r="G194" s="11"/>
      <c r="H194" s="45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4.25">
      <c r="A195" s="91" t="s">
        <v>94</v>
      </c>
      <c r="B195" s="65" t="s">
        <v>93</v>
      </c>
      <c r="C195" s="83"/>
      <c r="D195" s="84"/>
      <c r="E195" s="74"/>
      <c r="F195" s="44"/>
      <c r="G195" s="11"/>
      <c r="H195" s="45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4.25">
      <c r="A196" s="91" t="s">
        <v>95</v>
      </c>
      <c r="B196" s="65" t="s">
        <v>93</v>
      </c>
      <c r="C196" s="83"/>
      <c r="D196" s="84"/>
      <c r="E196" s="74"/>
      <c r="F196" s="44"/>
      <c r="G196" s="11"/>
      <c r="H196" s="45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4.25">
      <c r="A197" s="91" t="s">
        <v>96</v>
      </c>
      <c r="B197" s="65" t="s">
        <v>93</v>
      </c>
      <c r="C197" s="83"/>
      <c r="D197" s="84"/>
      <c r="E197" s="74"/>
      <c r="F197" s="44"/>
      <c r="G197" s="11"/>
      <c r="H197" s="45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4.25">
      <c r="A198" s="91" t="s">
        <v>97</v>
      </c>
      <c r="B198" s="65" t="s">
        <v>93</v>
      </c>
      <c r="C198" s="83"/>
      <c r="D198" s="84"/>
      <c r="E198" s="74"/>
      <c r="F198" s="44"/>
      <c r="G198" s="11"/>
      <c r="H198" s="45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4.25">
      <c r="A199" s="91" t="s">
        <v>370</v>
      </c>
      <c r="B199" s="65" t="s">
        <v>98</v>
      </c>
      <c r="C199" s="83"/>
      <c r="D199" s="84"/>
      <c r="E199" s="74"/>
      <c r="F199" s="44"/>
      <c r="G199" s="11"/>
      <c r="H199" s="45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4.25">
      <c r="A200" s="89"/>
      <c r="B200" s="65"/>
      <c r="C200" s="83"/>
      <c r="D200" s="84"/>
      <c r="E200" s="74"/>
      <c r="F200" s="44"/>
      <c r="G200" s="11"/>
      <c r="H200" s="45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4.25">
      <c r="A201" s="95" t="s">
        <v>102</v>
      </c>
      <c r="B201" s="67" t="s">
        <v>93</v>
      </c>
      <c r="C201" s="30"/>
      <c r="D201" s="31"/>
      <c r="E201" s="69"/>
      <c r="F201" s="30"/>
      <c r="G201" s="5"/>
      <c r="H201" s="31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4.25">
      <c r="A202" s="95" t="s">
        <v>336</v>
      </c>
      <c r="B202" s="67" t="s">
        <v>103</v>
      </c>
      <c r="C202" s="85"/>
      <c r="D202" s="86"/>
      <c r="E202" s="75"/>
      <c r="F202" s="46"/>
      <c r="G202" s="12"/>
      <c r="H202" s="4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4.25">
      <c r="A203" s="95" t="s">
        <v>337</v>
      </c>
      <c r="B203" s="67" t="s">
        <v>93</v>
      </c>
      <c r="C203" s="85"/>
      <c r="D203" s="86"/>
      <c r="E203" s="75"/>
      <c r="F203" s="46"/>
      <c r="G203" s="12"/>
      <c r="H203" s="4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4.25">
      <c r="A204" s="95" t="s">
        <v>338</v>
      </c>
      <c r="B204" s="67" t="s">
        <v>93</v>
      </c>
      <c r="C204" s="85"/>
      <c r="D204" s="86"/>
      <c r="E204" s="75"/>
      <c r="F204" s="46"/>
      <c r="G204" s="12"/>
      <c r="H204" s="4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4.25">
      <c r="A205" s="95" t="s">
        <v>339</v>
      </c>
      <c r="B205" s="67" t="s">
        <v>342</v>
      </c>
      <c r="C205" s="85"/>
      <c r="D205" s="86"/>
      <c r="E205" s="75"/>
      <c r="F205" s="46"/>
      <c r="G205" s="12"/>
      <c r="H205" s="47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4.25">
      <c r="A206" s="95" t="s">
        <v>345</v>
      </c>
      <c r="B206" s="67" t="s">
        <v>93</v>
      </c>
      <c r="C206" s="85"/>
      <c r="D206" s="86"/>
      <c r="E206" s="75"/>
      <c r="F206" s="46"/>
      <c r="G206" s="12"/>
      <c r="H206" s="47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4.25">
      <c r="A207" s="95" t="s">
        <v>341</v>
      </c>
      <c r="B207" s="67" t="s">
        <v>343</v>
      </c>
      <c r="C207" s="85"/>
      <c r="D207" s="86"/>
      <c r="E207" s="75"/>
      <c r="F207" s="46"/>
      <c r="G207" s="12"/>
      <c r="H207" s="47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4.25">
      <c r="A208" s="95" t="s">
        <v>104</v>
      </c>
      <c r="B208" s="67" t="s">
        <v>344</v>
      </c>
      <c r="C208" s="85"/>
      <c r="D208" s="86"/>
      <c r="E208" s="75"/>
      <c r="F208" s="46"/>
      <c r="G208" s="12"/>
      <c r="H208" s="47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4.25">
      <c r="A209" s="89" t="s">
        <v>100</v>
      </c>
      <c r="B209" s="65" t="s">
        <v>93</v>
      </c>
      <c r="C209" s="85"/>
      <c r="D209" s="86"/>
      <c r="E209" s="75"/>
      <c r="F209" s="46"/>
      <c r="G209" s="12"/>
      <c r="H209" s="4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4.25">
      <c r="A210" s="95" t="s">
        <v>101</v>
      </c>
      <c r="B210" s="67" t="s">
        <v>93</v>
      </c>
      <c r="C210" s="85"/>
      <c r="D210" s="86"/>
      <c r="E210" s="75"/>
      <c r="F210" s="46"/>
      <c r="G210" s="12"/>
      <c r="H210" s="47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4.25">
      <c r="A211" s="95" t="s">
        <v>340</v>
      </c>
      <c r="B211" s="26"/>
      <c r="C211" s="85"/>
      <c r="D211" s="86"/>
      <c r="E211" s="75"/>
      <c r="F211" s="46"/>
      <c r="G211" s="12"/>
      <c r="H211" s="47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4.25">
      <c r="A212" s="36"/>
      <c r="B212" s="26"/>
      <c r="C212" s="85"/>
      <c r="D212" s="86"/>
      <c r="E212" s="75"/>
      <c r="F212" s="46"/>
      <c r="G212" s="12"/>
      <c r="H212" s="4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5">
      <c r="A213" s="93" t="s">
        <v>105</v>
      </c>
      <c r="B213" s="65"/>
      <c r="C213" s="30"/>
      <c r="D213" s="31"/>
      <c r="E213" s="69"/>
      <c r="F213" s="30"/>
      <c r="G213" s="5"/>
      <c r="H213" s="31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28.5">
      <c r="A214" s="89" t="s">
        <v>106</v>
      </c>
      <c r="B214" s="65" t="s">
        <v>22</v>
      </c>
      <c r="C214" s="30"/>
      <c r="D214" s="31"/>
      <c r="E214" s="69"/>
      <c r="F214" s="30"/>
      <c r="G214" s="5"/>
      <c r="H214" s="31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9.5">
      <c r="A215" s="89"/>
      <c r="B215" s="65" t="s">
        <v>107</v>
      </c>
      <c r="C215" s="30"/>
      <c r="D215" s="31"/>
      <c r="E215" s="69"/>
      <c r="F215" s="30"/>
      <c r="G215" s="5"/>
      <c r="H215" s="31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28.5">
      <c r="A216" s="89" t="s">
        <v>108</v>
      </c>
      <c r="B216" s="65" t="s">
        <v>8</v>
      </c>
      <c r="C216" s="30"/>
      <c r="D216" s="31"/>
      <c r="E216" s="69"/>
      <c r="F216" s="30"/>
      <c r="G216" s="5"/>
      <c r="H216" s="31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5">
      <c r="A217" s="93" t="s">
        <v>109</v>
      </c>
      <c r="B217" s="65"/>
      <c r="C217" s="30"/>
      <c r="D217" s="31"/>
      <c r="E217" s="69"/>
      <c r="F217" s="30"/>
      <c r="G217" s="5"/>
      <c r="H217" s="31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9.5">
      <c r="A218" s="89" t="s">
        <v>110</v>
      </c>
      <c r="B218" s="65" t="s">
        <v>111</v>
      </c>
      <c r="C218" s="30">
        <v>107.7</v>
      </c>
      <c r="D218" s="31">
        <v>107.9</v>
      </c>
      <c r="E218" s="69">
        <v>106.7</v>
      </c>
      <c r="F218" s="30">
        <v>105.3</v>
      </c>
      <c r="G218" s="5">
        <v>105</v>
      </c>
      <c r="H218" s="31">
        <v>104.5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4.25">
      <c r="A219" s="89" t="s">
        <v>112</v>
      </c>
      <c r="B219" s="65" t="s">
        <v>8</v>
      </c>
      <c r="C219" s="30">
        <v>110.5</v>
      </c>
      <c r="D219" s="31">
        <v>106.3</v>
      </c>
      <c r="E219" s="69">
        <v>108.1</v>
      </c>
      <c r="F219" s="38">
        <v>105.7</v>
      </c>
      <c r="G219" s="5">
        <v>105.2</v>
      </c>
      <c r="H219" s="31">
        <v>104.7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9.5">
      <c r="A220" s="89" t="s">
        <v>113</v>
      </c>
      <c r="B220" s="65" t="s">
        <v>22</v>
      </c>
      <c r="C220" s="30">
        <v>1824.3</v>
      </c>
      <c r="D220" s="39">
        <v>1977.6</v>
      </c>
      <c r="E220" s="73">
        <v>2169.3</v>
      </c>
      <c r="F220" s="38">
        <v>2375.7</v>
      </c>
      <c r="G220" s="8">
        <v>2619.2</v>
      </c>
      <c r="H220" s="39">
        <v>2901.3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28.5">
      <c r="A221" s="89" t="s">
        <v>114</v>
      </c>
      <c r="B221" s="65" t="s">
        <v>8</v>
      </c>
      <c r="C221" s="30">
        <v>83</v>
      </c>
      <c r="D221" s="31">
        <v>102.4</v>
      </c>
      <c r="E221" s="69">
        <v>103</v>
      </c>
      <c r="F221" s="30">
        <v>104</v>
      </c>
      <c r="G221" s="5">
        <v>105</v>
      </c>
      <c r="H221" s="31">
        <v>106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4.25">
      <c r="A222" s="89" t="s">
        <v>115</v>
      </c>
      <c r="B222" s="65" t="s">
        <v>8</v>
      </c>
      <c r="C222" s="38">
        <v>109.7</v>
      </c>
      <c r="D222" s="31">
        <v>105.9</v>
      </c>
      <c r="E222" s="69">
        <v>106.5</v>
      </c>
      <c r="F222" s="30">
        <v>105.3</v>
      </c>
      <c r="G222" s="5">
        <v>105</v>
      </c>
      <c r="H222" s="31">
        <v>104.5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9.5">
      <c r="A223" s="89" t="s">
        <v>116</v>
      </c>
      <c r="B223" s="65" t="s">
        <v>22</v>
      </c>
      <c r="C223" s="30">
        <v>129</v>
      </c>
      <c r="D223" s="39">
        <v>138.6</v>
      </c>
      <c r="E223" s="73">
        <v>167.9</v>
      </c>
      <c r="F223" s="38">
        <v>205.7</v>
      </c>
      <c r="G223" s="8">
        <v>252.9</v>
      </c>
      <c r="H223" s="39">
        <v>311.5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28.5">
      <c r="A224" s="89" t="s">
        <v>117</v>
      </c>
      <c r="B224" s="65" t="s">
        <v>8</v>
      </c>
      <c r="C224" s="30">
        <v>57</v>
      </c>
      <c r="D224" s="31">
        <v>101.5</v>
      </c>
      <c r="E224" s="69">
        <v>110</v>
      </c>
      <c r="F224" s="30">
        <v>111.7</v>
      </c>
      <c r="G224" s="5">
        <v>112.6</v>
      </c>
      <c r="H224" s="31">
        <v>113.1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4.25">
      <c r="A225" s="89" t="s">
        <v>118</v>
      </c>
      <c r="B225" s="65" t="s">
        <v>8</v>
      </c>
      <c r="C225" s="38">
        <v>113.3</v>
      </c>
      <c r="D225" s="31">
        <v>105.6</v>
      </c>
      <c r="E225" s="69">
        <v>110.1</v>
      </c>
      <c r="F225" s="30">
        <v>109.7</v>
      </c>
      <c r="G225" s="5">
        <v>109.2</v>
      </c>
      <c r="H225" s="31">
        <v>108.9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9.5">
      <c r="A226" s="89" t="s">
        <v>119</v>
      </c>
      <c r="B226" s="65" t="s">
        <v>22</v>
      </c>
      <c r="C226" s="30">
        <v>448.8</v>
      </c>
      <c r="D226" s="39">
        <v>455.9</v>
      </c>
      <c r="E226" s="73">
        <v>513.5</v>
      </c>
      <c r="F226" s="38">
        <v>579.6</v>
      </c>
      <c r="G226" s="8">
        <v>656.8</v>
      </c>
      <c r="H226" s="39">
        <v>747.1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9.5">
      <c r="A227" s="89"/>
      <c r="B227" s="65" t="s">
        <v>120</v>
      </c>
      <c r="C227" s="30">
        <v>100.2</v>
      </c>
      <c r="D227" s="31">
        <v>94</v>
      </c>
      <c r="E227" s="69">
        <v>104</v>
      </c>
      <c r="F227" s="30">
        <v>105</v>
      </c>
      <c r="G227" s="5">
        <v>106</v>
      </c>
      <c r="H227" s="31">
        <v>107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4.25">
      <c r="A228" s="89" t="s">
        <v>121</v>
      </c>
      <c r="B228" s="65" t="s">
        <v>8</v>
      </c>
      <c r="C228" s="38">
        <v>109.3</v>
      </c>
      <c r="D228" s="31">
        <v>108.1</v>
      </c>
      <c r="E228" s="69">
        <v>108.3</v>
      </c>
      <c r="F228" s="30">
        <v>107.5</v>
      </c>
      <c r="G228" s="5">
        <v>106.9</v>
      </c>
      <c r="H228" s="31">
        <v>106.3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4.25">
      <c r="A229" s="90" t="s">
        <v>122</v>
      </c>
      <c r="B229" s="65"/>
      <c r="C229" s="30"/>
      <c r="D229" s="31"/>
      <c r="E229" s="69"/>
      <c r="F229" s="30"/>
      <c r="G229" s="5"/>
      <c r="H229" s="31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9.5">
      <c r="A230" s="91" t="s">
        <v>123</v>
      </c>
      <c r="B230" s="65" t="s">
        <v>22</v>
      </c>
      <c r="C230" s="30">
        <v>2060.3</v>
      </c>
      <c r="D230" s="49">
        <v>2306.9</v>
      </c>
      <c r="E230" s="76">
        <v>2493.8</v>
      </c>
      <c r="F230" s="48">
        <v>2695.8</v>
      </c>
      <c r="G230" s="13">
        <v>2914.2</v>
      </c>
      <c r="H230" s="49">
        <v>3150.2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9.5">
      <c r="A231" s="91"/>
      <c r="B231" s="65" t="s">
        <v>120</v>
      </c>
      <c r="C231" s="30">
        <v>105</v>
      </c>
      <c r="D231" s="31">
        <v>106</v>
      </c>
      <c r="E231" s="69">
        <v>100</v>
      </c>
      <c r="F231" s="30">
        <v>100</v>
      </c>
      <c r="G231" s="5">
        <v>100</v>
      </c>
      <c r="H231" s="31">
        <v>100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9.5">
      <c r="A232" s="91" t="s">
        <v>124</v>
      </c>
      <c r="B232" s="65" t="s">
        <v>22</v>
      </c>
      <c r="C232" s="30">
        <v>422.5</v>
      </c>
      <c r="D232" s="49">
        <v>337</v>
      </c>
      <c r="E232" s="76">
        <v>364.3</v>
      </c>
      <c r="F232" s="48">
        <v>393.8</v>
      </c>
      <c r="G232" s="13">
        <v>425.7</v>
      </c>
      <c r="H232" s="49">
        <v>460.2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9.5">
      <c r="A233" s="91"/>
      <c r="B233" s="65" t="s">
        <v>120</v>
      </c>
      <c r="C233" s="30">
        <v>32</v>
      </c>
      <c r="D233" s="31">
        <v>78</v>
      </c>
      <c r="E233" s="69">
        <v>100</v>
      </c>
      <c r="F233" s="30">
        <v>100</v>
      </c>
      <c r="G233" s="5">
        <v>100</v>
      </c>
      <c r="H233" s="31">
        <v>100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9.5">
      <c r="A234" s="91" t="s">
        <v>125</v>
      </c>
      <c r="B234" s="65" t="s">
        <v>22</v>
      </c>
      <c r="C234" s="30"/>
      <c r="D234" s="49"/>
      <c r="E234" s="76"/>
      <c r="F234" s="48"/>
      <c r="G234" s="13"/>
      <c r="H234" s="49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9.5">
      <c r="A235" s="91"/>
      <c r="B235" s="65" t="s">
        <v>120</v>
      </c>
      <c r="C235" s="30"/>
      <c r="D235" s="31"/>
      <c r="E235" s="69"/>
      <c r="F235" s="30"/>
      <c r="G235" s="5"/>
      <c r="H235" s="31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9.5">
      <c r="A236" s="91" t="s">
        <v>126</v>
      </c>
      <c r="B236" s="65" t="s">
        <v>22</v>
      </c>
      <c r="C236" s="30">
        <v>95.9</v>
      </c>
      <c r="D236" s="49">
        <v>58.2</v>
      </c>
      <c r="E236" s="76">
        <v>62.9</v>
      </c>
      <c r="F236" s="48">
        <v>68</v>
      </c>
      <c r="G236" s="13">
        <v>73.5</v>
      </c>
      <c r="H236" s="49">
        <v>79.5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9.5">
      <c r="A237" s="91"/>
      <c r="B237" s="65" t="s">
        <v>120</v>
      </c>
      <c r="C237" s="30">
        <v>1</v>
      </c>
      <c r="D237" s="31">
        <v>54</v>
      </c>
      <c r="E237" s="69">
        <v>100</v>
      </c>
      <c r="F237" s="30">
        <v>100</v>
      </c>
      <c r="G237" s="5">
        <v>100</v>
      </c>
      <c r="H237" s="31">
        <v>100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19.5">
      <c r="A238" s="91" t="s">
        <v>127</v>
      </c>
      <c r="B238" s="65" t="s">
        <v>22</v>
      </c>
      <c r="C238" s="30">
        <v>873.3</v>
      </c>
      <c r="D238" s="49">
        <v>1237.8</v>
      </c>
      <c r="E238" s="76">
        <v>1338.1</v>
      </c>
      <c r="F238" s="48">
        <v>1446.5</v>
      </c>
      <c r="G238" s="13">
        <v>1563.7</v>
      </c>
      <c r="H238" s="49">
        <v>1690.4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19.5">
      <c r="A239" s="91"/>
      <c r="B239" s="65" t="s">
        <v>120</v>
      </c>
      <c r="C239" s="30">
        <v>1</v>
      </c>
      <c r="D239" s="31">
        <v>124</v>
      </c>
      <c r="E239" s="69">
        <v>100</v>
      </c>
      <c r="F239" s="30">
        <v>100</v>
      </c>
      <c r="G239" s="5">
        <v>100</v>
      </c>
      <c r="H239" s="31">
        <v>100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19.5">
      <c r="A240" s="91" t="s">
        <v>128</v>
      </c>
      <c r="B240" s="65" t="s">
        <v>22</v>
      </c>
      <c r="C240" s="30"/>
      <c r="D240" s="49"/>
      <c r="E240" s="76"/>
      <c r="F240" s="48"/>
      <c r="G240" s="13"/>
      <c r="H240" s="49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19.5">
      <c r="A241" s="91"/>
      <c r="B241" s="65" t="s">
        <v>120</v>
      </c>
      <c r="C241" s="30"/>
      <c r="D241" s="31"/>
      <c r="E241" s="69"/>
      <c r="F241" s="30"/>
      <c r="G241" s="5"/>
      <c r="H241" s="31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19.5">
      <c r="A242" s="91" t="s">
        <v>129</v>
      </c>
      <c r="B242" s="65" t="s">
        <v>22</v>
      </c>
      <c r="C242" s="30">
        <v>165.9</v>
      </c>
      <c r="D242" s="31">
        <v>54.9</v>
      </c>
      <c r="E242" s="69">
        <v>59.3</v>
      </c>
      <c r="F242" s="30">
        <v>64.1</v>
      </c>
      <c r="G242" s="5">
        <v>69.3</v>
      </c>
      <c r="H242" s="31">
        <v>74.9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9.5">
      <c r="A243" s="91"/>
      <c r="B243" s="65" t="s">
        <v>120</v>
      </c>
      <c r="C243" s="30" t="s">
        <v>400</v>
      </c>
      <c r="D243" s="31">
        <v>32</v>
      </c>
      <c r="E243" s="69">
        <v>100</v>
      </c>
      <c r="F243" s="30">
        <v>100</v>
      </c>
      <c r="G243" s="5">
        <v>100</v>
      </c>
      <c r="H243" s="31">
        <v>100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9.5">
      <c r="A244" s="91" t="s">
        <v>130</v>
      </c>
      <c r="B244" s="65" t="s">
        <v>22</v>
      </c>
      <c r="C244" s="30">
        <v>136</v>
      </c>
      <c r="D244" s="31" t="s">
        <v>400</v>
      </c>
      <c r="E244" s="69"/>
      <c r="F244" s="30"/>
      <c r="G244" s="5"/>
      <c r="H244" s="31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9.5">
      <c r="A245" s="91"/>
      <c r="B245" s="65" t="s">
        <v>120</v>
      </c>
      <c r="C245" s="30">
        <v>20</v>
      </c>
      <c r="D245" s="31" t="s">
        <v>400</v>
      </c>
      <c r="E245" s="69"/>
      <c r="F245" s="30"/>
      <c r="G245" s="5"/>
      <c r="H245" s="31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9.5">
      <c r="A246" s="91" t="s">
        <v>131</v>
      </c>
      <c r="B246" s="65" t="s">
        <v>22</v>
      </c>
      <c r="C246" s="30">
        <v>7698</v>
      </c>
      <c r="D246" s="49">
        <v>6623</v>
      </c>
      <c r="E246" s="76">
        <v>7159.5</v>
      </c>
      <c r="F246" s="48">
        <v>7739.4</v>
      </c>
      <c r="G246" s="13">
        <v>8366.3</v>
      </c>
      <c r="H246" s="49">
        <v>9044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9.5">
      <c r="A247" s="91"/>
      <c r="B247" s="65" t="s">
        <v>120</v>
      </c>
      <c r="C247" s="30">
        <v>61</v>
      </c>
      <c r="D247" s="31">
        <v>81</v>
      </c>
      <c r="E247" s="69">
        <v>100</v>
      </c>
      <c r="F247" s="30">
        <v>100</v>
      </c>
      <c r="G247" s="5">
        <v>100</v>
      </c>
      <c r="H247" s="31">
        <v>100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9.5">
      <c r="A248" s="91" t="s">
        <v>132</v>
      </c>
      <c r="B248" s="65" t="s">
        <v>22</v>
      </c>
      <c r="C248" s="30">
        <v>153453</v>
      </c>
      <c r="D248" s="31">
        <v>110220</v>
      </c>
      <c r="E248" s="69">
        <v>119147.8</v>
      </c>
      <c r="F248" s="30">
        <v>128798.8</v>
      </c>
      <c r="G248" s="5">
        <v>139231.5</v>
      </c>
      <c r="H248" s="31">
        <v>150509.3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9.5">
      <c r="A249" s="91"/>
      <c r="B249" s="65" t="s">
        <v>120</v>
      </c>
      <c r="C249" s="30">
        <v>84</v>
      </c>
      <c r="D249" s="31">
        <v>67</v>
      </c>
      <c r="E249" s="69">
        <v>100</v>
      </c>
      <c r="F249" s="30">
        <v>100</v>
      </c>
      <c r="G249" s="5">
        <v>100</v>
      </c>
      <c r="H249" s="31">
        <v>100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9.5">
      <c r="A250" s="91" t="s">
        <v>133</v>
      </c>
      <c r="B250" s="65" t="s">
        <v>22</v>
      </c>
      <c r="C250" s="30"/>
      <c r="D250" s="49"/>
      <c r="E250" s="76"/>
      <c r="F250" s="48"/>
      <c r="G250" s="13"/>
      <c r="H250" s="49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9.5">
      <c r="A251" s="91"/>
      <c r="B251" s="65" t="s">
        <v>120</v>
      </c>
      <c r="C251" s="30"/>
      <c r="D251" s="31"/>
      <c r="E251" s="69"/>
      <c r="F251" s="30"/>
      <c r="G251" s="5"/>
      <c r="H251" s="31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9.5">
      <c r="A252" s="91" t="s">
        <v>134</v>
      </c>
      <c r="B252" s="65" t="s">
        <v>22</v>
      </c>
      <c r="C252" s="30"/>
      <c r="D252" s="31"/>
      <c r="E252" s="69"/>
      <c r="F252" s="30"/>
      <c r="G252" s="5"/>
      <c r="H252" s="31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9.5">
      <c r="A253" s="91"/>
      <c r="B253" s="65" t="s">
        <v>120</v>
      </c>
      <c r="C253" s="30"/>
      <c r="D253" s="31"/>
      <c r="E253" s="69"/>
      <c r="F253" s="30"/>
      <c r="G253" s="5"/>
      <c r="H253" s="31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9.5">
      <c r="A254" s="91" t="s">
        <v>135</v>
      </c>
      <c r="B254" s="65" t="s">
        <v>22</v>
      </c>
      <c r="C254" s="30">
        <v>2461</v>
      </c>
      <c r="D254" s="49">
        <v>15850</v>
      </c>
      <c r="E254" s="76">
        <v>17133.9</v>
      </c>
      <c r="F254" s="48">
        <v>18521.7</v>
      </c>
      <c r="G254" s="13">
        <v>20021.9</v>
      </c>
      <c r="H254" s="49">
        <v>21643.7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9.5">
      <c r="A255" s="91"/>
      <c r="B255" s="65" t="s">
        <v>120</v>
      </c>
      <c r="C255" s="30">
        <v>83</v>
      </c>
      <c r="D255" s="31">
        <v>115</v>
      </c>
      <c r="E255" s="69">
        <v>100</v>
      </c>
      <c r="F255" s="30">
        <v>100</v>
      </c>
      <c r="G255" s="5">
        <v>100</v>
      </c>
      <c r="H255" s="31">
        <v>100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9.5">
      <c r="A256" s="91" t="s">
        <v>136</v>
      </c>
      <c r="B256" s="65" t="s">
        <v>22</v>
      </c>
      <c r="C256" s="30">
        <v>26699</v>
      </c>
      <c r="D256" s="31">
        <v>30574.6</v>
      </c>
      <c r="E256" s="69">
        <v>33051.1</v>
      </c>
      <c r="F256" s="30">
        <v>35728.2</v>
      </c>
      <c r="G256" s="5">
        <v>38622.2</v>
      </c>
      <c r="H256" s="31">
        <v>41750.6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8.75">
      <c r="A257" s="88" t="s">
        <v>137</v>
      </c>
      <c r="B257" s="65"/>
      <c r="C257" s="30"/>
      <c r="D257" s="31"/>
      <c r="E257" s="69"/>
      <c r="F257" s="30"/>
      <c r="G257" s="5"/>
      <c r="H257" s="31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28.5">
      <c r="A258" s="119" t="s">
        <v>389</v>
      </c>
      <c r="B258" s="65" t="s">
        <v>139</v>
      </c>
      <c r="C258" s="30"/>
      <c r="D258" s="31"/>
      <c r="E258" s="69"/>
      <c r="F258" s="30"/>
      <c r="G258" s="5"/>
      <c r="H258" s="31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28.5">
      <c r="A259" s="121" t="s">
        <v>138</v>
      </c>
      <c r="B259" s="65"/>
      <c r="C259" s="30"/>
      <c r="D259" s="31"/>
      <c r="E259" s="69"/>
      <c r="F259" s="30"/>
      <c r="G259" s="5"/>
      <c r="H259" s="31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4.25">
      <c r="A260" s="118" t="s">
        <v>76</v>
      </c>
      <c r="B260" s="65" t="s">
        <v>139</v>
      </c>
      <c r="C260" s="30"/>
      <c r="D260" s="31"/>
      <c r="E260" s="69"/>
      <c r="F260" s="30"/>
      <c r="G260" s="5"/>
      <c r="H260" s="31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4.25">
      <c r="A261" s="118" t="s">
        <v>140</v>
      </c>
      <c r="B261" s="65" t="s">
        <v>139</v>
      </c>
      <c r="C261" s="30"/>
      <c r="D261" s="31"/>
      <c r="E261" s="69"/>
      <c r="F261" s="30"/>
      <c r="G261" s="5"/>
      <c r="H261" s="31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28.5">
      <c r="A262" s="118" t="s">
        <v>141</v>
      </c>
      <c r="B262" s="65" t="s">
        <v>139</v>
      </c>
      <c r="C262" s="30"/>
      <c r="D262" s="31"/>
      <c r="E262" s="69"/>
      <c r="F262" s="30"/>
      <c r="G262" s="5"/>
      <c r="H262" s="31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4.25">
      <c r="A263" s="118" t="s">
        <v>142</v>
      </c>
      <c r="B263" s="65" t="s">
        <v>139</v>
      </c>
      <c r="C263" s="30"/>
      <c r="D263" s="31"/>
      <c r="E263" s="69"/>
      <c r="F263" s="30"/>
      <c r="G263" s="5"/>
      <c r="H263" s="31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42.75">
      <c r="A264" s="118" t="s">
        <v>390</v>
      </c>
      <c r="B264" s="65" t="s">
        <v>139</v>
      </c>
      <c r="C264" s="30"/>
      <c r="D264" s="31"/>
      <c r="E264" s="69"/>
      <c r="F264" s="30"/>
      <c r="G264" s="5"/>
      <c r="H264" s="31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42.75">
      <c r="A265" s="119" t="s">
        <v>393</v>
      </c>
      <c r="B265" s="65" t="s">
        <v>282</v>
      </c>
      <c r="C265" s="30"/>
      <c r="D265" s="31"/>
      <c r="E265" s="69"/>
      <c r="F265" s="30"/>
      <c r="G265" s="5"/>
      <c r="H265" s="31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28.5">
      <c r="A266" s="119" t="s">
        <v>394</v>
      </c>
      <c r="B266" s="65" t="s">
        <v>396</v>
      </c>
      <c r="C266" s="30"/>
      <c r="D266" s="31"/>
      <c r="E266" s="69"/>
      <c r="F266" s="30"/>
      <c r="G266" s="5"/>
      <c r="H266" s="31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57">
      <c r="A267" s="119" t="s">
        <v>395</v>
      </c>
      <c r="B267" s="65" t="s">
        <v>392</v>
      </c>
      <c r="C267" s="50"/>
      <c r="D267" s="51"/>
      <c r="E267" s="77"/>
      <c r="F267" s="50"/>
      <c r="G267" s="14"/>
      <c r="H267" s="51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4.25">
      <c r="A268" s="89"/>
      <c r="B268" s="65"/>
      <c r="C268" s="50"/>
      <c r="D268" s="51"/>
      <c r="E268" s="77"/>
      <c r="F268" s="50"/>
      <c r="G268" s="14"/>
      <c r="H268" s="51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8.75">
      <c r="A269" s="88" t="s">
        <v>144</v>
      </c>
      <c r="B269" s="65"/>
      <c r="C269" s="30"/>
      <c r="D269" s="31"/>
      <c r="E269" s="69"/>
      <c r="F269" s="30"/>
      <c r="G269" s="5"/>
      <c r="H269" s="31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30">
      <c r="A270" s="93" t="s">
        <v>145</v>
      </c>
      <c r="B270" s="65" t="s">
        <v>22</v>
      </c>
      <c r="C270" s="30"/>
      <c r="D270" s="31"/>
      <c r="E270" s="69"/>
      <c r="F270" s="30"/>
      <c r="G270" s="5"/>
      <c r="H270" s="31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29.25">
      <c r="A271" s="89"/>
      <c r="B271" s="65" t="s">
        <v>146</v>
      </c>
      <c r="C271" s="30"/>
      <c r="D271" s="51"/>
      <c r="E271" s="77"/>
      <c r="F271" s="50"/>
      <c r="G271" s="14"/>
      <c r="H271" s="51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9.5">
      <c r="A272" s="89"/>
      <c r="B272" s="65" t="s">
        <v>147</v>
      </c>
      <c r="C272" s="30"/>
      <c r="D272" s="31"/>
      <c r="E272" s="69"/>
      <c r="F272" s="30"/>
      <c r="G272" s="5"/>
      <c r="H272" s="31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57">
      <c r="A273" s="89" t="s">
        <v>148</v>
      </c>
      <c r="B273" s="65" t="s">
        <v>22</v>
      </c>
      <c r="C273" s="50"/>
      <c r="D273" s="31"/>
      <c r="E273" s="69"/>
      <c r="F273" s="30"/>
      <c r="G273" s="5"/>
      <c r="H273" s="31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29.25">
      <c r="A274" s="89"/>
      <c r="B274" s="65" t="s">
        <v>146</v>
      </c>
      <c r="C274" s="30"/>
      <c r="D274" s="51"/>
      <c r="E274" s="77"/>
      <c r="F274" s="50"/>
      <c r="G274" s="14"/>
      <c r="H274" s="51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9.5">
      <c r="A275" s="89"/>
      <c r="B275" s="65" t="s">
        <v>147</v>
      </c>
      <c r="C275" s="30"/>
      <c r="D275" s="31"/>
      <c r="E275" s="69"/>
      <c r="F275" s="30"/>
      <c r="G275" s="5"/>
      <c r="H275" s="31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42.75">
      <c r="A276" s="90" t="s">
        <v>149</v>
      </c>
      <c r="B276" s="65"/>
      <c r="C276" s="30"/>
      <c r="D276" s="31"/>
      <c r="E276" s="69"/>
      <c r="F276" s="30"/>
      <c r="G276" s="5"/>
      <c r="H276" s="31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9.5">
      <c r="A277" s="91" t="s">
        <v>150</v>
      </c>
      <c r="B277" s="65" t="s">
        <v>22</v>
      </c>
      <c r="C277" s="30"/>
      <c r="D277" s="31"/>
      <c r="E277" s="69"/>
      <c r="F277" s="30"/>
      <c r="G277" s="5"/>
      <c r="H277" s="31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29.25">
      <c r="A278" s="91"/>
      <c r="B278" s="65" t="s">
        <v>146</v>
      </c>
      <c r="C278" s="30"/>
      <c r="D278" s="51"/>
      <c r="E278" s="77"/>
      <c r="F278" s="50"/>
      <c r="G278" s="14"/>
      <c r="H278" s="51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9.5">
      <c r="A279" s="91" t="s">
        <v>151</v>
      </c>
      <c r="B279" s="65" t="s">
        <v>22</v>
      </c>
      <c r="C279" s="30"/>
      <c r="D279" s="31"/>
      <c r="E279" s="69"/>
      <c r="F279" s="30"/>
      <c r="G279" s="5"/>
      <c r="H279" s="31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29.25">
      <c r="A280" s="91"/>
      <c r="B280" s="65" t="s">
        <v>146</v>
      </c>
      <c r="C280" s="30"/>
      <c r="D280" s="31"/>
      <c r="E280" s="69"/>
      <c r="F280" s="30"/>
      <c r="G280" s="5"/>
      <c r="H280" s="31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9.5">
      <c r="A281" s="91" t="s">
        <v>76</v>
      </c>
      <c r="B281" s="65" t="s">
        <v>22</v>
      </c>
      <c r="C281" s="30"/>
      <c r="D281" s="31"/>
      <c r="E281" s="69"/>
      <c r="F281" s="30"/>
      <c r="G281" s="5"/>
      <c r="H281" s="31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29.25">
      <c r="A282" s="91"/>
      <c r="B282" s="65" t="s">
        <v>146</v>
      </c>
      <c r="C282" s="30"/>
      <c r="D282" s="51"/>
      <c r="E282" s="77"/>
      <c r="F282" s="50"/>
      <c r="G282" s="14"/>
      <c r="H282" s="51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28.5">
      <c r="A283" s="91" t="s">
        <v>152</v>
      </c>
      <c r="B283" s="65" t="s">
        <v>22</v>
      </c>
      <c r="C283" s="30"/>
      <c r="D283" s="31"/>
      <c r="E283" s="69"/>
      <c r="F283" s="30"/>
      <c r="G283" s="5"/>
      <c r="H283" s="31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29.25">
      <c r="A284" s="91"/>
      <c r="B284" s="65" t="s">
        <v>146</v>
      </c>
      <c r="C284" s="30"/>
      <c r="D284" s="31"/>
      <c r="E284" s="69"/>
      <c r="F284" s="30"/>
      <c r="G284" s="5"/>
      <c r="H284" s="31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28.5">
      <c r="A285" s="91" t="s">
        <v>153</v>
      </c>
      <c r="B285" s="65" t="s">
        <v>22</v>
      </c>
      <c r="C285" s="30"/>
      <c r="D285" s="31"/>
      <c r="E285" s="69"/>
      <c r="F285" s="30"/>
      <c r="G285" s="5"/>
      <c r="H285" s="31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29.25">
      <c r="A286" s="91"/>
      <c r="B286" s="65" t="s">
        <v>146</v>
      </c>
      <c r="C286" s="30"/>
      <c r="D286" s="51"/>
      <c r="E286" s="77"/>
      <c r="F286" s="50"/>
      <c r="G286" s="14"/>
      <c r="H286" s="51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9.5">
      <c r="A287" s="91" t="s">
        <v>140</v>
      </c>
      <c r="B287" s="65" t="s">
        <v>22</v>
      </c>
      <c r="C287" s="30"/>
      <c r="D287" s="31"/>
      <c r="E287" s="69"/>
      <c r="F287" s="30"/>
      <c r="G287" s="5"/>
      <c r="H287" s="31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29.25">
      <c r="A288" s="91"/>
      <c r="B288" s="65" t="s">
        <v>146</v>
      </c>
      <c r="C288" s="30"/>
      <c r="D288" s="51"/>
      <c r="E288" s="77"/>
      <c r="F288" s="50"/>
      <c r="G288" s="14"/>
      <c r="H288" s="51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28.5">
      <c r="A289" s="91" t="s">
        <v>154</v>
      </c>
      <c r="B289" s="65" t="s">
        <v>22</v>
      </c>
      <c r="C289" s="30"/>
      <c r="D289" s="31"/>
      <c r="E289" s="69"/>
      <c r="F289" s="30"/>
      <c r="G289" s="5"/>
      <c r="H289" s="31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29.25">
      <c r="A290" s="91"/>
      <c r="B290" s="65" t="s">
        <v>146</v>
      </c>
      <c r="C290" s="30"/>
      <c r="D290" s="51"/>
      <c r="E290" s="77"/>
      <c r="F290" s="50"/>
      <c r="G290" s="14"/>
      <c r="H290" s="51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9.5">
      <c r="A291" s="91" t="s">
        <v>155</v>
      </c>
      <c r="B291" s="65" t="s">
        <v>22</v>
      </c>
      <c r="C291" s="30"/>
      <c r="D291" s="31"/>
      <c r="E291" s="69"/>
      <c r="F291" s="30"/>
      <c r="G291" s="5"/>
      <c r="H291" s="31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29.25">
      <c r="A292" s="91"/>
      <c r="B292" s="65" t="s">
        <v>146</v>
      </c>
      <c r="C292" s="30"/>
      <c r="D292" s="31"/>
      <c r="E292" s="69"/>
      <c r="F292" s="30"/>
      <c r="G292" s="5"/>
      <c r="H292" s="31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28.5">
      <c r="A293" s="91" t="s">
        <v>156</v>
      </c>
      <c r="B293" s="65" t="s">
        <v>22</v>
      </c>
      <c r="C293" s="30"/>
      <c r="D293" s="31"/>
      <c r="E293" s="69"/>
      <c r="F293" s="30"/>
      <c r="G293" s="5"/>
      <c r="H293" s="31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42.75" customHeight="1">
      <c r="A294" s="91"/>
      <c r="B294" s="65" t="s">
        <v>146</v>
      </c>
      <c r="C294" s="30"/>
      <c r="D294" s="31"/>
      <c r="E294" s="69"/>
      <c r="F294" s="30"/>
      <c r="G294" s="5"/>
      <c r="H294" s="31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28.5">
      <c r="A295" s="91" t="s">
        <v>157</v>
      </c>
      <c r="B295" s="65" t="s">
        <v>22</v>
      </c>
      <c r="C295" s="30"/>
      <c r="D295" s="31"/>
      <c r="E295" s="69"/>
      <c r="F295" s="30"/>
      <c r="G295" s="5"/>
      <c r="H295" s="31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29.25">
      <c r="A296" s="91"/>
      <c r="B296" s="65" t="s">
        <v>146</v>
      </c>
      <c r="C296" s="30"/>
      <c r="D296" s="31"/>
      <c r="E296" s="69"/>
      <c r="F296" s="30"/>
      <c r="G296" s="5"/>
      <c r="H296" s="31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28.5">
      <c r="A297" s="91" t="s">
        <v>158</v>
      </c>
      <c r="B297" s="65" t="s">
        <v>22</v>
      </c>
      <c r="C297" s="30"/>
      <c r="D297" s="31"/>
      <c r="E297" s="69"/>
      <c r="F297" s="30"/>
      <c r="G297" s="5"/>
      <c r="H297" s="31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29.25">
      <c r="A298" s="91"/>
      <c r="B298" s="65" t="s">
        <v>146</v>
      </c>
      <c r="C298" s="30"/>
      <c r="D298" s="31"/>
      <c r="E298" s="69"/>
      <c r="F298" s="30"/>
      <c r="G298" s="5"/>
      <c r="H298" s="31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28.5">
      <c r="A299" s="91" t="s">
        <v>159</v>
      </c>
      <c r="B299" s="65" t="s">
        <v>22</v>
      </c>
      <c r="C299" s="30"/>
      <c r="D299" s="31"/>
      <c r="E299" s="69"/>
      <c r="F299" s="30"/>
      <c r="G299" s="5"/>
      <c r="H299" s="31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29.25">
      <c r="A300" s="91"/>
      <c r="B300" s="65" t="s">
        <v>146</v>
      </c>
      <c r="C300" s="30"/>
      <c r="D300" s="31"/>
      <c r="E300" s="69"/>
      <c r="F300" s="30"/>
      <c r="G300" s="5"/>
      <c r="H300" s="31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9.5">
      <c r="A301" s="91" t="s">
        <v>160</v>
      </c>
      <c r="B301" s="65" t="s">
        <v>22</v>
      </c>
      <c r="C301" s="30"/>
      <c r="D301" s="31"/>
      <c r="E301" s="69"/>
      <c r="F301" s="30"/>
      <c r="G301" s="5"/>
      <c r="H301" s="31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29.25">
      <c r="A302" s="91"/>
      <c r="B302" s="65" t="s">
        <v>146</v>
      </c>
      <c r="C302" s="30"/>
      <c r="D302" s="31"/>
      <c r="E302" s="69"/>
      <c r="F302" s="30"/>
      <c r="G302" s="5"/>
      <c r="H302" s="31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9.5">
      <c r="A303" s="91" t="s">
        <v>161</v>
      </c>
      <c r="B303" s="65" t="s">
        <v>22</v>
      </c>
      <c r="C303" s="30"/>
      <c r="D303" s="31"/>
      <c r="E303" s="69"/>
      <c r="F303" s="30"/>
      <c r="G303" s="5"/>
      <c r="H303" s="31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29.25">
      <c r="A304" s="91"/>
      <c r="B304" s="65" t="s">
        <v>146</v>
      </c>
      <c r="C304" s="30"/>
      <c r="D304" s="31"/>
      <c r="E304" s="69"/>
      <c r="F304" s="30"/>
      <c r="G304" s="5"/>
      <c r="H304" s="31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28.5">
      <c r="A305" s="91" t="s">
        <v>162</v>
      </c>
      <c r="B305" s="65" t="s">
        <v>22</v>
      </c>
      <c r="C305" s="30"/>
      <c r="D305" s="31"/>
      <c r="E305" s="69"/>
      <c r="F305" s="30"/>
      <c r="G305" s="5"/>
      <c r="H305" s="31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29.25">
      <c r="A306" s="91"/>
      <c r="B306" s="65" t="s">
        <v>146</v>
      </c>
      <c r="C306" s="30"/>
      <c r="D306" s="31"/>
      <c r="E306" s="69"/>
      <c r="F306" s="30"/>
      <c r="G306" s="5"/>
      <c r="H306" s="31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28.5">
      <c r="A307" s="91" t="s">
        <v>163</v>
      </c>
      <c r="B307" s="65" t="s">
        <v>22</v>
      </c>
      <c r="C307" s="30"/>
      <c r="D307" s="31"/>
      <c r="E307" s="69"/>
      <c r="F307" s="30"/>
      <c r="G307" s="5"/>
      <c r="H307" s="31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29.25">
      <c r="A308" s="91"/>
      <c r="B308" s="65" t="s">
        <v>146</v>
      </c>
      <c r="C308" s="30"/>
      <c r="D308" s="31"/>
      <c r="E308" s="69"/>
      <c r="F308" s="30"/>
      <c r="G308" s="5"/>
      <c r="H308" s="31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9.5">
      <c r="A309" s="91" t="s">
        <v>164</v>
      </c>
      <c r="B309" s="65" t="s">
        <v>22</v>
      </c>
      <c r="C309" s="30"/>
      <c r="D309" s="31"/>
      <c r="E309" s="69"/>
      <c r="F309" s="30"/>
      <c r="G309" s="5"/>
      <c r="H309" s="31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29.25">
      <c r="A310" s="91"/>
      <c r="B310" s="65" t="s">
        <v>146</v>
      </c>
      <c r="C310" s="30"/>
      <c r="D310" s="31"/>
      <c r="E310" s="69"/>
      <c r="F310" s="30"/>
      <c r="G310" s="5"/>
      <c r="H310" s="31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28.5">
      <c r="A311" s="91" t="s">
        <v>165</v>
      </c>
      <c r="B311" s="65" t="s">
        <v>22</v>
      </c>
      <c r="C311" s="30"/>
      <c r="D311" s="31"/>
      <c r="E311" s="69"/>
      <c r="F311" s="30"/>
      <c r="G311" s="5"/>
      <c r="H311" s="31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29.25">
      <c r="A312" s="91"/>
      <c r="B312" s="65" t="s">
        <v>146</v>
      </c>
      <c r="C312" s="30"/>
      <c r="D312" s="31"/>
      <c r="E312" s="69"/>
      <c r="F312" s="30"/>
      <c r="G312" s="5"/>
      <c r="H312" s="31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9.5">
      <c r="A313" s="91" t="s">
        <v>166</v>
      </c>
      <c r="B313" s="65" t="s">
        <v>22</v>
      </c>
      <c r="C313" s="30"/>
      <c r="D313" s="31"/>
      <c r="E313" s="69"/>
      <c r="F313" s="30"/>
      <c r="G313" s="5"/>
      <c r="H313" s="31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29.25">
      <c r="A314" s="91"/>
      <c r="B314" s="65" t="s">
        <v>146</v>
      </c>
      <c r="C314" s="30"/>
      <c r="D314" s="31"/>
      <c r="E314" s="69"/>
      <c r="F314" s="30"/>
      <c r="G314" s="5"/>
      <c r="H314" s="31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9.5">
      <c r="A315" s="91" t="s">
        <v>167</v>
      </c>
      <c r="B315" s="65" t="s">
        <v>22</v>
      </c>
      <c r="C315" s="30"/>
      <c r="D315" s="31"/>
      <c r="E315" s="69"/>
      <c r="F315" s="30"/>
      <c r="G315" s="5"/>
      <c r="H315" s="31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29.25">
      <c r="A316" s="91"/>
      <c r="B316" s="65" t="s">
        <v>146</v>
      </c>
      <c r="C316" s="30"/>
      <c r="D316" s="51"/>
      <c r="E316" s="77"/>
      <c r="F316" s="50"/>
      <c r="G316" s="14"/>
      <c r="H316" s="51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28.5">
      <c r="A317" s="91" t="s">
        <v>141</v>
      </c>
      <c r="B317" s="65" t="s">
        <v>22</v>
      </c>
      <c r="C317" s="30"/>
      <c r="D317" s="31"/>
      <c r="E317" s="69"/>
      <c r="F317" s="30"/>
      <c r="G317" s="5"/>
      <c r="H317" s="31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29.25">
      <c r="A318" s="91"/>
      <c r="B318" s="65" t="s">
        <v>146</v>
      </c>
      <c r="C318" s="30"/>
      <c r="D318" s="51"/>
      <c r="E318" s="77"/>
      <c r="F318" s="50"/>
      <c r="G318" s="14"/>
      <c r="H318" s="51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19.5">
      <c r="A319" s="91" t="s">
        <v>142</v>
      </c>
      <c r="B319" s="65" t="s">
        <v>22</v>
      </c>
      <c r="C319" s="30"/>
      <c r="D319" s="31"/>
      <c r="E319" s="69"/>
      <c r="F319" s="30"/>
      <c r="G319" s="5"/>
      <c r="H319" s="31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29.25">
      <c r="A320" s="91"/>
      <c r="B320" s="65" t="s">
        <v>146</v>
      </c>
      <c r="C320" s="30"/>
      <c r="D320" s="51"/>
      <c r="E320" s="77"/>
      <c r="F320" s="50"/>
      <c r="G320" s="14"/>
      <c r="H320" s="51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42.75">
      <c r="A321" s="91" t="s">
        <v>143</v>
      </c>
      <c r="B321" s="65" t="s">
        <v>22</v>
      </c>
      <c r="C321" s="30"/>
      <c r="D321" s="31"/>
      <c r="E321" s="69"/>
      <c r="F321" s="30"/>
      <c r="G321" s="5"/>
      <c r="H321" s="31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29.25">
      <c r="A322" s="91"/>
      <c r="B322" s="65" t="s">
        <v>146</v>
      </c>
      <c r="C322" s="30"/>
      <c r="D322" s="31"/>
      <c r="E322" s="69"/>
      <c r="F322" s="30"/>
      <c r="G322" s="5"/>
      <c r="H322" s="31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9.5">
      <c r="A323" s="91" t="s">
        <v>168</v>
      </c>
      <c r="B323" s="65" t="s">
        <v>22</v>
      </c>
      <c r="C323" s="30"/>
      <c r="D323" s="31"/>
      <c r="E323" s="69"/>
      <c r="F323" s="30"/>
      <c r="G323" s="5"/>
      <c r="H323" s="31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29.25">
      <c r="A324" s="91"/>
      <c r="B324" s="65" t="s">
        <v>146</v>
      </c>
      <c r="C324" s="30"/>
      <c r="D324" s="31"/>
      <c r="E324" s="69"/>
      <c r="F324" s="30"/>
      <c r="G324" s="5"/>
      <c r="H324" s="31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ht="19.5">
      <c r="A325" s="91" t="s">
        <v>169</v>
      </c>
      <c r="B325" s="65" t="s">
        <v>22</v>
      </c>
      <c r="C325" s="30"/>
      <c r="D325" s="31"/>
      <c r="E325" s="69"/>
      <c r="F325" s="30"/>
      <c r="G325" s="5"/>
      <c r="H325" s="31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ht="29.25">
      <c r="A326" s="91"/>
      <c r="B326" s="65" t="s">
        <v>146</v>
      </c>
      <c r="C326" s="30"/>
      <c r="D326" s="51"/>
      <c r="E326" s="77"/>
      <c r="F326" s="50"/>
      <c r="G326" s="14"/>
      <c r="H326" s="51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19.5">
      <c r="A327" s="91" t="s">
        <v>170</v>
      </c>
      <c r="B327" s="65" t="s">
        <v>22</v>
      </c>
      <c r="C327" s="30"/>
      <c r="D327" s="31"/>
      <c r="E327" s="69"/>
      <c r="F327" s="30"/>
      <c r="G327" s="5"/>
      <c r="H327" s="31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ht="29.25">
      <c r="A328" s="91"/>
      <c r="B328" s="65" t="s">
        <v>146</v>
      </c>
      <c r="C328" s="30"/>
      <c r="D328" s="51"/>
      <c r="E328" s="77"/>
      <c r="F328" s="50"/>
      <c r="G328" s="14"/>
      <c r="H328" s="51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28.5">
      <c r="A329" s="91" t="s">
        <v>171</v>
      </c>
      <c r="B329" s="65" t="s">
        <v>22</v>
      </c>
      <c r="C329" s="30"/>
      <c r="D329" s="31"/>
      <c r="E329" s="69"/>
      <c r="F329" s="30"/>
      <c r="G329" s="5"/>
      <c r="H329" s="31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ht="29.25">
      <c r="A330" s="91"/>
      <c r="B330" s="65" t="s">
        <v>146</v>
      </c>
      <c r="C330" s="30"/>
      <c r="D330" s="51"/>
      <c r="E330" s="77"/>
      <c r="F330" s="50"/>
      <c r="G330" s="14"/>
      <c r="H330" s="51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ht="19.5" customHeight="1">
      <c r="A331" s="91" t="s">
        <v>172</v>
      </c>
      <c r="B331" s="65" t="s">
        <v>22</v>
      </c>
      <c r="C331" s="30"/>
      <c r="D331" s="31"/>
      <c r="E331" s="69"/>
      <c r="F331" s="30"/>
      <c r="G331" s="5"/>
      <c r="H331" s="31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ht="29.25">
      <c r="A332" s="91"/>
      <c r="B332" s="65" t="s">
        <v>146</v>
      </c>
      <c r="C332" s="30"/>
      <c r="D332" s="31"/>
      <c r="E332" s="69"/>
      <c r="F332" s="30"/>
      <c r="G332" s="5"/>
      <c r="H332" s="31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ht="19.5">
      <c r="A333" s="91" t="s">
        <v>173</v>
      </c>
      <c r="B333" s="65" t="s">
        <v>22</v>
      </c>
      <c r="C333" s="30"/>
      <c r="D333" s="31"/>
      <c r="E333" s="69"/>
      <c r="F333" s="30"/>
      <c r="G333" s="5"/>
      <c r="H333" s="31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ht="29.25">
      <c r="A334" s="91"/>
      <c r="B334" s="65" t="s">
        <v>146</v>
      </c>
      <c r="C334" s="30"/>
      <c r="D334" s="51"/>
      <c r="E334" s="77"/>
      <c r="F334" s="50"/>
      <c r="G334" s="14"/>
      <c r="H334" s="51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28.5">
      <c r="A335" s="91" t="s">
        <v>174</v>
      </c>
      <c r="B335" s="65" t="s">
        <v>22</v>
      </c>
      <c r="C335" s="30"/>
      <c r="D335" s="31"/>
      <c r="E335" s="69"/>
      <c r="F335" s="30"/>
      <c r="G335" s="5"/>
      <c r="H335" s="31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ht="29.25">
      <c r="A336" s="91"/>
      <c r="B336" s="65" t="s">
        <v>146</v>
      </c>
      <c r="C336" s="30"/>
      <c r="D336" s="51"/>
      <c r="E336" s="77"/>
      <c r="F336" s="50"/>
      <c r="G336" s="14"/>
      <c r="H336" s="51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28.5">
      <c r="A337" s="91" t="s">
        <v>175</v>
      </c>
      <c r="B337" s="65" t="s">
        <v>22</v>
      </c>
      <c r="C337" s="30"/>
      <c r="D337" s="31"/>
      <c r="E337" s="69"/>
      <c r="F337" s="30"/>
      <c r="G337" s="5"/>
      <c r="H337" s="31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29.25">
      <c r="A338" s="91"/>
      <c r="B338" s="65" t="s">
        <v>146</v>
      </c>
      <c r="C338" s="30"/>
      <c r="D338" s="51"/>
      <c r="E338" s="77"/>
      <c r="F338" s="50"/>
      <c r="G338" s="14"/>
      <c r="H338" s="51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9.5">
      <c r="A339" s="91" t="s">
        <v>176</v>
      </c>
      <c r="B339" s="65" t="s">
        <v>22</v>
      </c>
      <c r="C339" s="30"/>
      <c r="D339" s="31"/>
      <c r="E339" s="69"/>
      <c r="F339" s="30"/>
      <c r="G339" s="5"/>
      <c r="H339" s="31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29.25">
      <c r="A340" s="91"/>
      <c r="B340" s="65" t="s">
        <v>146</v>
      </c>
      <c r="C340" s="30"/>
      <c r="D340" s="31"/>
      <c r="E340" s="69"/>
      <c r="F340" s="30"/>
      <c r="G340" s="5"/>
      <c r="H340" s="31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60">
      <c r="A341" s="93" t="s">
        <v>177</v>
      </c>
      <c r="B341" s="65"/>
      <c r="C341" s="50"/>
      <c r="D341" s="31"/>
      <c r="E341" s="69"/>
      <c r="F341" s="30"/>
      <c r="G341" s="5"/>
      <c r="H341" s="31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9.5">
      <c r="A342" s="89" t="s">
        <v>178</v>
      </c>
      <c r="B342" s="65" t="s">
        <v>22</v>
      </c>
      <c r="C342" s="30"/>
      <c r="D342" s="31"/>
      <c r="E342" s="69"/>
      <c r="F342" s="30"/>
      <c r="G342" s="5"/>
      <c r="H342" s="31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4.25">
      <c r="A343" s="90" t="s">
        <v>179</v>
      </c>
      <c r="B343" s="65"/>
      <c r="C343" s="30"/>
      <c r="D343" s="31"/>
      <c r="E343" s="69"/>
      <c r="F343" s="30"/>
      <c r="G343" s="5"/>
      <c r="H343" s="31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9.5">
      <c r="A344" s="91" t="s">
        <v>180</v>
      </c>
      <c r="B344" s="65" t="s">
        <v>22</v>
      </c>
      <c r="C344" s="30"/>
      <c r="D344" s="31"/>
      <c r="E344" s="69"/>
      <c r="F344" s="30"/>
      <c r="G344" s="5"/>
      <c r="H344" s="31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19.5">
      <c r="A345" s="91" t="s">
        <v>181</v>
      </c>
      <c r="B345" s="65" t="s">
        <v>22</v>
      </c>
      <c r="C345" s="30"/>
      <c r="D345" s="31"/>
      <c r="E345" s="69"/>
      <c r="F345" s="30"/>
      <c r="G345" s="5"/>
      <c r="H345" s="31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9.5">
      <c r="A346" s="89" t="s">
        <v>182</v>
      </c>
      <c r="B346" s="65" t="s">
        <v>22</v>
      </c>
      <c r="C346" s="30"/>
      <c r="D346" s="31"/>
      <c r="E346" s="69"/>
      <c r="F346" s="30"/>
      <c r="G346" s="5"/>
      <c r="H346" s="31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14.25">
      <c r="A347" s="90" t="s">
        <v>179</v>
      </c>
      <c r="B347" s="65"/>
      <c r="C347" s="30"/>
      <c r="D347" s="31"/>
      <c r="E347" s="69"/>
      <c r="F347" s="30"/>
      <c r="G347" s="5"/>
      <c r="H347" s="31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19.5">
      <c r="A348" s="91" t="s">
        <v>183</v>
      </c>
      <c r="B348" s="65" t="s">
        <v>22</v>
      </c>
      <c r="C348" s="30"/>
      <c r="D348" s="31"/>
      <c r="E348" s="69"/>
      <c r="F348" s="30"/>
      <c r="G348" s="5"/>
      <c r="H348" s="31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ht="19.5">
      <c r="A349" s="96" t="s">
        <v>184</v>
      </c>
      <c r="B349" s="65" t="s">
        <v>22</v>
      </c>
      <c r="C349" s="30"/>
      <c r="D349" s="31"/>
      <c r="E349" s="69"/>
      <c r="F349" s="30"/>
      <c r="G349" s="5"/>
      <c r="H349" s="31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ht="19.5">
      <c r="A350" s="91" t="s">
        <v>185</v>
      </c>
      <c r="B350" s="65" t="s">
        <v>22</v>
      </c>
      <c r="C350" s="30"/>
      <c r="D350" s="31"/>
      <c r="E350" s="69"/>
      <c r="F350" s="30"/>
      <c r="G350" s="5"/>
      <c r="H350" s="31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ht="19.5">
      <c r="A351" s="91" t="s">
        <v>348</v>
      </c>
      <c r="B351" s="65" t="s">
        <v>22</v>
      </c>
      <c r="C351" s="52"/>
      <c r="D351" s="53"/>
      <c r="E351" s="78"/>
      <c r="F351" s="52"/>
      <c r="G351" s="25"/>
      <c r="H351" s="53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ht="14.25">
      <c r="A352" s="96" t="s">
        <v>122</v>
      </c>
      <c r="B352" s="65"/>
      <c r="C352" s="30"/>
      <c r="D352" s="31"/>
      <c r="E352" s="69"/>
      <c r="F352" s="30"/>
      <c r="G352" s="5"/>
      <c r="H352" s="31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ht="19.5">
      <c r="A353" s="96" t="s">
        <v>353</v>
      </c>
      <c r="B353" s="65" t="s">
        <v>22</v>
      </c>
      <c r="C353" s="52"/>
      <c r="D353" s="53"/>
      <c r="E353" s="78"/>
      <c r="F353" s="52"/>
      <c r="G353" s="25"/>
      <c r="H353" s="53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28.5">
      <c r="A354" s="97" t="s">
        <v>349</v>
      </c>
      <c r="B354" s="65" t="s">
        <v>22</v>
      </c>
      <c r="C354" s="30"/>
      <c r="D354" s="31"/>
      <c r="E354" s="69"/>
      <c r="F354" s="30"/>
      <c r="G354" s="5"/>
      <c r="H354" s="31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28.5">
      <c r="A355" s="96" t="s">
        <v>371</v>
      </c>
      <c r="B355" s="65" t="s">
        <v>22</v>
      </c>
      <c r="C355" s="30"/>
      <c r="D355" s="31"/>
      <c r="E355" s="69"/>
      <c r="F355" s="30"/>
      <c r="G355" s="5"/>
      <c r="H355" s="31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14.25">
      <c r="A356" s="97" t="s">
        <v>122</v>
      </c>
      <c r="B356" s="65"/>
      <c r="C356" s="30"/>
      <c r="D356" s="31"/>
      <c r="E356" s="69"/>
      <c r="F356" s="30"/>
      <c r="G356" s="5"/>
      <c r="H356" s="31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19.5">
      <c r="A357" s="97" t="s">
        <v>354</v>
      </c>
      <c r="B357" s="65" t="s">
        <v>22</v>
      </c>
      <c r="C357" s="52"/>
      <c r="D357" s="53"/>
      <c r="E357" s="78"/>
      <c r="F357" s="52"/>
      <c r="G357" s="25"/>
      <c r="H357" s="53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9.5">
      <c r="A358" s="97" t="s">
        <v>355</v>
      </c>
      <c r="B358" s="65" t="s">
        <v>22</v>
      </c>
      <c r="C358" s="52"/>
      <c r="D358" s="53"/>
      <c r="E358" s="78"/>
      <c r="F358" s="52"/>
      <c r="G358" s="25"/>
      <c r="H358" s="53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19.5">
      <c r="A359" s="91" t="s">
        <v>186</v>
      </c>
      <c r="B359" s="65" t="s">
        <v>22</v>
      </c>
      <c r="C359" s="30"/>
      <c r="D359" s="31"/>
      <c r="E359" s="69"/>
      <c r="F359" s="30"/>
      <c r="G359" s="5"/>
      <c r="H359" s="31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9.5">
      <c r="A360" s="89" t="s">
        <v>350</v>
      </c>
      <c r="B360" s="65" t="s">
        <v>22</v>
      </c>
      <c r="C360" s="30"/>
      <c r="D360" s="31"/>
      <c r="E360" s="69"/>
      <c r="F360" s="30"/>
      <c r="G360" s="5"/>
      <c r="H360" s="31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19.5">
      <c r="A361" s="89" t="s">
        <v>351</v>
      </c>
      <c r="B361" s="65" t="s">
        <v>22</v>
      </c>
      <c r="C361" s="30"/>
      <c r="D361" s="31"/>
      <c r="E361" s="69"/>
      <c r="F361" s="30"/>
      <c r="G361" s="5"/>
      <c r="H361" s="31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4.25">
      <c r="A362" s="89"/>
      <c r="B362" s="65"/>
      <c r="C362" s="30"/>
      <c r="D362" s="31"/>
      <c r="E362" s="69"/>
      <c r="F362" s="30"/>
      <c r="G362" s="5"/>
      <c r="H362" s="31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58.5">
      <c r="A363" s="89" t="s">
        <v>352</v>
      </c>
      <c r="B363" s="65" t="s">
        <v>22</v>
      </c>
      <c r="C363" s="30"/>
      <c r="D363" s="31"/>
      <c r="E363" s="69"/>
      <c r="F363" s="30"/>
      <c r="G363" s="5"/>
      <c r="H363" s="31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4.25">
      <c r="A364" s="91" t="s">
        <v>187</v>
      </c>
      <c r="B364" s="65"/>
      <c r="C364" s="30"/>
      <c r="D364" s="31"/>
      <c r="E364" s="69"/>
      <c r="F364" s="30"/>
      <c r="G364" s="5"/>
      <c r="H364" s="31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28.5">
      <c r="A365" s="91" t="s">
        <v>356</v>
      </c>
      <c r="B365" s="65" t="s">
        <v>22</v>
      </c>
      <c r="C365" s="30"/>
      <c r="D365" s="31"/>
      <c r="E365" s="69"/>
      <c r="F365" s="30"/>
      <c r="G365" s="5"/>
      <c r="H365" s="31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28.5">
      <c r="A366" s="91" t="s">
        <v>357</v>
      </c>
      <c r="B366" s="65" t="s">
        <v>22</v>
      </c>
      <c r="C366" s="30"/>
      <c r="D366" s="31"/>
      <c r="E366" s="69"/>
      <c r="F366" s="30"/>
      <c r="G366" s="5"/>
      <c r="H366" s="31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15">
      <c r="A367" s="93" t="s">
        <v>188</v>
      </c>
      <c r="B367" s="65" t="s">
        <v>189</v>
      </c>
      <c r="C367" s="30"/>
      <c r="D367" s="31"/>
      <c r="E367" s="69"/>
      <c r="F367" s="30"/>
      <c r="G367" s="5"/>
      <c r="H367" s="31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ht="14.25">
      <c r="A368" s="89"/>
      <c r="B368" s="65" t="s">
        <v>8</v>
      </c>
      <c r="C368" s="30"/>
      <c r="D368" s="31"/>
      <c r="E368" s="69"/>
      <c r="F368" s="30"/>
      <c r="G368" s="5"/>
      <c r="H368" s="31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ht="14.25">
      <c r="A369" s="90" t="s">
        <v>122</v>
      </c>
      <c r="B369" s="65"/>
      <c r="C369" s="30"/>
      <c r="D369" s="31"/>
      <c r="E369" s="69"/>
      <c r="F369" s="30"/>
      <c r="G369" s="5"/>
      <c r="H369" s="31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4.25">
      <c r="A370" s="91" t="s">
        <v>190</v>
      </c>
      <c r="B370" s="65" t="s">
        <v>189</v>
      </c>
      <c r="C370" s="30"/>
      <c r="D370" s="31"/>
      <c r="E370" s="69"/>
      <c r="F370" s="30"/>
      <c r="G370" s="5"/>
      <c r="H370" s="31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4.25">
      <c r="A371" s="91"/>
      <c r="B371" s="65" t="s">
        <v>8</v>
      </c>
      <c r="C371" s="30"/>
      <c r="D371" s="31"/>
      <c r="E371" s="69"/>
      <c r="F371" s="30"/>
      <c r="G371" s="5"/>
      <c r="H371" s="31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4.25">
      <c r="A372" s="91" t="s">
        <v>191</v>
      </c>
      <c r="B372" s="65" t="s">
        <v>189</v>
      </c>
      <c r="C372" s="30"/>
      <c r="D372" s="31"/>
      <c r="E372" s="69"/>
      <c r="F372" s="30"/>
      <c r="G372" s="5"/>
      <c r="H372" s="31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14.25">
      <c r="A373" s="91"/>
      <c r="B373" s="65" t="s">
        <v>8</v>
      </c>
      <c r="C373" s="30"/>
      <c r="D373" s="31"/>
      <c r="E373" s="69"/>
      <c r="F373" s="30"/>
      <c r="G373" s="5"/>
      <c r="H373" s="31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28.5">
      <c r="A374" s="91" t="s">
        <v>192</v>
      </c>
      <c r="B374" s="65" t="s">
        <v>189</v>
      </c>
      <c r="C374" s="30"/>
      <c r="D374" s="31"/>
      <c r="E374" s="69"/>
      <c r="F374" s="30"/>
      <c r="G374" s="5"/>
      <c r="H374" s="31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8.75">
      <c r="A375" s="88" t="s">
        <v>193</v>
      </c>
      <c r="B375" s="65"/>
      <c r="C375" s="30"/>
      <c r="D375" s="31"/>
      <c r="E375" s="69"/>
      <c r="F375" s="30"/>
      <c r="G375" s="5"/>
      <c r="H375" s="31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28.5">
      <c r="A376" s="98" t="s">
        <v>378</v>
      </c>
      <c r="B376" s="68"/>
      <c r="C376" s="30"/>
      <c r="D376" s="31"/>
      <c r="E376" s="69"/>
      <c r="F376" s="30"/>
      <c r="G376" s="5"/>
      <c r="H376" s="31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 ht="14.25">
      <c r="A377" s="99" t="s">
        <v>194</v>
      </c>
      <c r="B377" s="68" t="s">
        <v>195</v>
      </c>
      <c r="C377" s="30"/>
      <c r="D377" s="31"/>
      <c r="E377" s="69"/>
      <c r="F377" s="30"/>
      <c r="G377" s="5"/>
      <c r="H377" s="31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 ht="14.25">
      <c r="A378" s="100" t="s">
        <v>385</v>
      </c>
      <c r="B378" s="68" t="s">
        <v>195</v>
      </c>
      <c r="C378" s="30"/>
      <c r="D378" s="31"/>
      <c r="E378" s="69"/>
      <c r="F378" s="30"/>
      <c r="G378" s="5"/>
      <c r="H378" s="31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ht="14.25">
      <c r="A379" s="99" t="s">
        <v>379</v>
      </c>
      <c r="B379" s="68" t="s">
        <v>195</v>
      </c>
      <c r="C379" s="30"/>
      <c r="D379" s="31"/>
      <c r="E379" s="69"/>
      <c r="F379" s="30"/>
      <c r="G379" s="5"/>
      <c r="H379" s="31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 ht="14.25">
      <c r="A380" s="99" t="s">
        <v>196</v>
      </c>
      <c r="B380" s="68" t="s">
        <v>195</v>
      </c>
      <c r="C380" s="30"/>
      <c r="D380" s="31"/>
      <c r="E380" s="69"/>
      <c r="F380" s="30"/>
      <c r="G380" s="5"/>
      <c r="H380" s="31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 ht="14.25">
      <c r="A381" s="101" t="s">
        <v>197</v>
      </c>
      <c r="B381" s="68" t="s">
        <v>195</v>
      </c>
      <c r="C381" s="30"/>
      <c r="D381" s="31"/>
      <c r="E381" s="69"/>
      <c r="F381" s="30"/>
      <c r="G381" s="5"/>
      <c r="H381" s="31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 ht="14.25">
      <c r="A382" s="102" t="s">
        <v>198</v>
      </c>
      <c r="B382" s="68" t="s">
        <v>195</v>
      </c>
      <c r="C382" s="30"/>
      <c r="D382" s="31"/>
      <c r="E382" s="69"/>
      <c r="F382" s="30"/>
      <c r="G382" s="5"/>
      <c r="H382" s="31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ht="14.25">
      <c r="A383" s="103" t="s">
        <v>380</v>
      </c>
      <c r="B383" s="68" t="s">
        <v>195</v>
      </c>
      <c r="C383" s="30"/>
      <c r="D383" s="31"/>
      <c r="E383" s="69"/>
      <c r="F383" s="30"/>
      <c r="G383" s="5"/>
      <c r="H383" s="31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ht="28.5">
      <c r="A384" s="103" t="s">
        <v>199</v>
      </c>
      <c r="B384" s="68" t="s">
        <v>195</v>
      </c>
      <c r="C384" s="30"/>
      <c r="D384" s="31"/>
      <c r="E384" s="69"/>
      <c r="F384" s="30"/>
      <c r="G384" s="5"/>
      <c r="H384" s="31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 ht="14.25">
      <c r="A385" s="102" t="s">
        <v>179</v>
      </c>
      <c r="B385" s="68"/>
      <c r="C385" s="30"/>
      <c r="D385" s="31"/>
      <c r="E385" s="69"/>
      <c r="F385" s="30"/>
      <c r="G385" s="5"/>
      <c r="H385" s="31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ht="14.25">
      <c r="A386" s="102" t="s">
        <v>200</v>
      </c>
      <c r="B386" s="68" t="s">
        <v>195</v>
      </c>
      <c r="C386" s="30"/>
      <c r="D386" s="31"/>
      <c r="E386" s="69"/>
      <c r="F386" s="30"/>
      <c r="G386" s="5"/>
      <c r="H386" s="31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 ht="14.25">
      <c r="A387" s="102" t="s">
        <v>201</v>
      </c>
      <c r="B387" s="68" t="s">
        <v>195</v>
      </c>
      <c r="C387" s="30"/>
      <c r="D387" s="31"/>
      <c r="E387" s="69"/>
      <c r="F387" s="30"/>
      <c r="G387" s="5"/>
      <c r="H387" s="31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 ht="14.25">
      <c r="A388" s="103" t="s">
        <v>381</v>
      </c>
      <c r="B388" s="68" t="s">
        <v>195</v>
      </c>
      <c r="C388" s="30"/>
      <c r="D388" s="31"/>
      <c r="E388" s="69"/>
      <c r="F388" s="30"/>
      <c r="G388" s="5"/>
      <c r="H388" s="31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ht="14.25">
      <c r="A389" s="103" t="s">
        <v>382</v>
      </c>
      <c r="B389" s="68" t="s">
        <v>195</v>
      </c>
      <c r="C389" s="30"/>
      <c r="D389" s="31"/>
      <c r="E389" s="69"/>
      <c r="F389" s="30"/>
      <c r="G389" s="5"/>
      <c r="H389" s="31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 ht="28.5">
      <c r="A390" s="103" t="s">
        <v>202</v>
      </c>
      <c r="B390" s="68" t="s">
        <v>195</v>
      </c>
      <c r="C390" s="30"/>
      <c r="D390" s="31"/>
      <c r="E390" s="69"/>
      <c r="F390" s="30"/>
      <c r="G390" s="5"/>
      <c r="H390" s="31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 ht="14.25">
      <c r="A391" s="103" t="s">
        <v>179</v>
      </c>
      <c r="B391" s="68"/>
      <c r="C391" s="30"/>
      <c r="D391" s="31"/>
      <c r="E391" s="69"/>
      <c r="F391" s="30"/>
      <c r="G391" s="5"/>
      <c r="H391" s="31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 ht="14.25">
      <c r="A392" s="101" t="s">
        <v>203</v>
      </c>
      <c r="B392" s="68" t="s">
        <v>195</v>
      </c>
      <c r="C392" s="30"/>
      <c r="D392" s="31"/>
      <c r="E392" s="69"/>
      <c r="F392" s="30"/>
      <c r="G392" s="5"/>
      <c r="H392" s="31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 ht="14.25">
      <c r="A393" s="99" t="s">
        <v>204</v>
      </c>
      <c r="B393" s="68" t="s">
        <v>195</v>
      </c>
      <c r="C393" s="30"/>
      <c r="D393" s="31"/>
      <c r="E393" s="69"/>
      <c r="F393" s="30"/>
      <c r="G393" s="5"/>
      <c r="H393" s="31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 ht="14.25">
      <c r="A394" s="99" t="s">
        <v>205</v>
      </c>
      <c r="B394" s="68" t="s">
        <v>195</v>
      </c>
      <c r="C394" s="30"/>
      <c r="D394" s="31"/>
      <c r="E394" s="69"/>
      <c r="F394" s="30"/>
      <c r="G394" s="5"/>
      <c r="H394" s="31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 ht="14.25">
      <c r="A395" s="99" t="s">
        <v>206</v>
      </c>
      <c r="B395" s="68" t="s">
        <v>195</v>
      </c>
      <c r="C395" s="30"/>
      <c r="D395" s="31"/>
      <c r="E395" s="69"/>
      <c r="F395" s="30"/>
      <c r="G395" s="5"/>
      <c r="H395" s="31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 ht="14.25">
      <c r="A396" s="104" t="s">
        <v>207</v>
      </c>
      <c r="B396" s="68" t="s">
        <v>195</v>
      </c>
      <c r="C396" s="30"/>
      <c r="D396" s="31"/>
      <c r="E396" s="69"/>
      <c r="F396" s="30"/>
      <c r="G396" s="5"/>
      <c r="H396" s="31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 ht="28.5">
      <c r="A397" s="103" t="s">
        <v>208</v>
      </c>
      <c r="B397" s="68" t="s">
        <v>195</v>
      </c>
      <c r="C397" s="30"/>
      <c r="D397" s="31"/>
      <c r="E397" s="69"/>
      <c r="F397" s="30"/>
      <c r="G397" s="5"/>
      <c r="H397" s="31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 ht="28.5">
      <c r="A398" s="103" t="s">
        <v>209</v>
      </c>
      <c r="B398" s="68" t="s">
        <v>195</v>
      </c>
      <c r="C398" s="30"/>
      <c r="D398" s="31"/>
      <c r="E398" s="69"/>
      <c r="F398" s="30"/>
      <c r="G398" s="5"/>
      <c r="H398" s="31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 ht="14.25">
      <c r="A399" s="102" t="s">
        <v>210</v>
      </c>
      <c r="B399" s="68" t="s">
        <v>195</v>
      </c>
      <c r="C399" s="30"/>
      <c r="D399" s="31"/>
      <c r="E399" s="69"/>
      <c r="F399" s="30"/>
      <c r="G399" s="5"/>
      <c r="H399" s="31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 ht="42.75">
      <c r="A400" s="102" t="s">
        <v>383</v>
      </c>
      <c r="B400" s="68" t="s">
        <v>195</v>
      </c>
      <c r="C400" s="30"/>
      <c r="D400" s="31"/>
      <c r="E400" s="69"/>
      <c r="F400" s="30"/>
      <c r="G400" s="5"/>
      <c r="H400" s="31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 ht="28.5">
      <c r="A401" s="103" t="s">
        <v>211</v>
      </c>
      <c r="B401" s="68" t="s">
        <v>195</v>
      </c>
      <c r="C401" s="30"/>
      <c r="D401" s="31"/>
      <c r="E401" s="69"/>
      <c r="F401" s="30"/>
      <c r="G401" s="5"/>
      <c r="H401" s="31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 ht="14.25">
      <c r="A402" s="102" t="s">
        <v>212</v>
      </c>
      <c r="B402" s="68" t="s">
        <v>195</v>
      </c>
      <c r="C402" s="30"/>
      <c r="D402" s="31"/>
      <c r="E402" s="69"/>
      <c r="F402" s="30"/>
      <c r="G402" s="5"/>
      <c r="H402" s="31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ht="14.25">
      <c r="A403" s="101" t="s">
        <v>213</v>
      </c>
      <c r="B403" s="68" t="s">
        <v>195</v>
      </c>
      <c r="C403" s="30"/>
      <c r="D403" s="31"/>
      <c r="E403" s="69"/>
      <c r="F403" s="30"/>
      <c r="G403" s="5"/>
      <c r="H403" s="31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ht="14.25">
      <c r="A404" s="105" t="s">
        <v>214</v>
      </c>
      <c r="B404" s="68" t="s">
        <v>195</v>
      </c>
      <c r="C404" s="30"/>
      <c r="D404" s="31"/>
      <c r="E404" s="69"/>
      <c r="F404" s="30"/>
      <c r="G404" s="5"/>
      <c r="H404" s="31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ht="28.5">
      <c r="A405" s="98" t="s">
        <v>384</v>
      </c>
      <c r="B405" s="68"/>
      <c r="C405" s="30"/>
      <c r="D405" s="31"/>
      <c r="E405" s="69"/>
      <c r="F405" s="30"/>
      <c r="G405" s="5"/>
      <c r="H405" s="31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ht="28.5">
      <c r="A406" s="99" t="s">
        <v>215</v>
      </c>
      <c r="B406" s="68" t="s">
        <v>195</v>
      </c>
      <c r="C406" s="30"/>
      <c r="D406" s="31"/>
      <c r="E406" s="69"/>
      <c r="F406" s="30"/>
      <c r="G406" s="5"/>
      <c r="H406" s="31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 ht="14.25">
      <c r="A407" s="99" t="s">
        <v>179</v>
      </c>
      <c r="B407" s="68"/>
      <c r="C407" s="30"/>
      <c r="D407" s="31"/>
      <c r="E407" s="69"/>
      <c r="F407" s="30"/>
      <c r="G407" s="5"/>
      <c r="H407" s="31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 ht="14.25">
      <c r="A408" s="101" t="s">
        <v>216</v>
      </c>
      <c r="B408" s="68" t="s">
        <v>195</v>
      </c>
      <c r="C408" s="30"/>
      <c r="D408" s="31"/>
      <c r="E408" s="69"/>
      <c r="F408" s="30"/>
      <c r="G408" s="5"/>
      <c r="H408" s="31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 ht="14.25">
      <c r="A409" s="99" t="s">
        <v>217</v>
      </c>
      <c r="B409" s="68" t="s">
        <v>195</v>
      </c>
      <c r="C409" s="30"/>
      <c r="D409" s="31"/>
      <c r="E409" s="69"/>
      <c r="F409" s="30"/>
      <c r="G409" s="5"/>
      <c r="H409" s="31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 ht="14.25">
      <c r="A410" s="99" t="s">
        <v>218</v>
      </c>
      <c r="B410" s="68"/>
      <c r="C410" s="30"/>
      <c r="D410" s="31"/>
      <c r="E410" s="69"/>
      <c r="F410" s="30"/>
      <c r="G410" s="5"/>
      <c r="H410" s="31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ht="14.25">
      <c r="A411" s="101" t="s">
        <v>219</v>
      </c>
      <c r="B411" s="68" t="s">
        <v>195</v>
      </c>
      <c r="C411" s="30"/>
      <c r="D411" s="31"/>
      <c r="E411" s="69"/>
      <c r="F411" s="30"/>
      <c r="G411" s="5"/>
      <c r="H411" s="31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ht="14.25">
      <c r="A412" s="101" t="s">
        <v>220</v>
      </c>
      <c r="B412" s="68" t="s">
        <v>195</v>
      </c>
      <c r="C412" s="30"/>
      <c r="D412" s="31"/>
      <c r="E412" s="69"/>
      <c r="F412" s="30"/>
      <c r="G412" s="5"/>
      <c r="H412" s="31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ht="14.25">
      <c r="A413" s="99" t="s">
        <v>221</v>
      </c>
      <c r="B413" s="68" t="s">
        <v>195</v>
      </c>
      <c r="C413" s="30"/>
      <c r="D413" s="31"/>
      <c r="E413" s="69"/>
      <c r="F413" s="30"/>
      <c r="G413" s="5"/>
      <c r="H413" s="31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ht="28.5">
      <c r="A414" s="101" t="s">
        <v>222</v>
      </c>
      <c r="B414" s="68" t="s">
        <v>195</v>
      </c>
      <c r="C414" s="30"/>
      <c r="D414" s="31"/>
      <c r="E414" s="69"/>
      <c r="F414" s="30"/>
      <c r="G414" s="5"/>
      <c r="H414" s="31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ht="14.25">
      <c r="A415" s="101" t="s">
        <v>223</v>
      </c>
      <c r="B415" s="68" t="s">
        <v>195</v>
      </c>
      <c r="C415" s="30"/>
      <c r="D415" s="31"/>
      <c r="E415" s="69"/>
      <c r="F415" s="30"/>
      <c r="G415" s="5"/>
      <c r="H415" s="31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ht="14.25">
      <c r="A416" s="99" t="s">
        <v>224</v>
      </c>
      <c r="B416" s="68" t="s">
        <v>195</v>
      </c>
      <c r="C416" s="30"/>
      <c r="D416" s="31"/>
      <c r="E416" s="69"/>
      <c r="F416" s="30"/>
      <c r="G416" s="5"/>
      <c r="H416" s="31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ht="28.5">
      <c r="A417" s="99" t="s">
        <v>225</v>
      </c>
      <c r="B417" s="68" t="s">
        <v>195</v>
      </c>
      <c r="C417" s="30"/>
      <c r="D417" s="31"/>
      <c r="E417" s="69"/>
      <c r="F417" s="30"/>
      <c r="G417" s="5"/>
      <c r="H417" s="31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ht="14.25">
      <c r="A418" s="99" t="s">
        <v>226</v>
      </c>
      <c r="B418" s="68" t="s">
        <v>195</v>
      </c>
      <c r="C418" s="30"/>
      <c r="D418" s="31"/>
      <c r="E418" s="69"/>
      <c r="F418" s="30"/>
      <c r="G418" s="5"/>
      <c r="H418" s="31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ht="14.25">
      <c r="A419" s="99" t="s">
        <v>227</v>
      </c>
      <c r="B419" s="68" t="s">
        <v>195</v>
      </c>
      <c r="C419" s="30"/>
      <c r="D419" s="31"/>
      <c r="E419" s="69"/>
      <c r="F419" s="30"/>
      <c r="G419" s="5"/>
      <c r="H419" s="31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ht="14.25">
      <c r="A420" s="99" t="s">
        <v>228</v>
      </c>
      <c r="B420" s="68" t="s">
        <v>195</v>
      </c>
      <c r="C420" s="30"/>
      <c r="D420" s="31"/>
      <c r="E420" s="69"/>
      <c r="F420" s="30"/>
      <c r="G420" s="5"/>
      <c r="H420" s="31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ht="14.25">
      <c r="A421" s="99" t="s">
        <v>229</v>
      </c>
      <c r="B421" s="68" t="s">
        <v>195</v>
      </c>
      <c r="C421" s="30"/>
      <c r="D421" s="31"/>
      <c r="E421" s="69"/>
      <c r="F421" s="30"/>
      <c r="G421" s="5"/>
      <c r="H421" s="31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ht="14.25">
      <c r="A422" s="101" t="s">
        <v>179</v>
      </c>
      <c r="B422" s="68"/>
      <c r="C422" s="30"/>
      <c r="D422" s="31"/>
      <c r="E422" s="69"/>
      <c r="F422" s="30"/>
      <c r="G422" s="5"/>
      <c r="H422" s="31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ht="14.25">
      <c r="A423" s="101" t="s">
        <v>230</v>
      </c>
      <c r="B423" s="68" t="s">
        <v>195</v>
      </c>
      <c r="C423" s="30"/>
      <c r="D423" s="31"/>
      <c r="E423" s="69"/>
      <c r="F423" s="30"/>
      <c r="G423" s="5"/>
      <c r="H423" s="31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ht="28.5">
      <c r="A424" s="101" t="s">
        <v>231</v>
      </c>
      <c r="B424" s="68" t="s">
        <v>195</v>
      </c>
      <c r="C424" s="30"/>
      <c r="D424" s="31"/>
      <c r="E424" s="69"/>
      <c r="F424" s="30"/>
      <c r="G424" s="5"/>
      <c r="H424" s="31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ht="14.25">
      <c r="A425" s="101" t="s">
        <v>232</v>
      </c>
      <c r="B425" s="68" t="s">
        <v>195</v>
      </c>
      <c r="C425" s="30"/>
      <c r="D425" s="31"/>
      <c r="E425" s="69"/>
      <c r="F425" s="30"/>
      <c r="G425" s="5"/>
      <c r="H425" s="31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ht="14.25">
      <c r="A426" s="101" t="s">
        <v>233</v>
      </c>
      <c r="B426" s="68" t="s">
        <v>195</v>
      </c>
      <c r="C426" s="30"/>
      <c r="D426" s="31"/>
      <c r="E426" s="69"/>
      <c r="F426" s="30"/>
      <c r="G426" s="5"/>
      <c r="H426" s="31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ht="14.25">
      <c r="A427" s="106" t="s">
        <v>122</v>
      </c>
      <c r="B427" s="68"/>
      <c r="C427" s="30"/>
      <c r="D427" s="31"/>
      <c r="E427" s="69"/>
      <c r="F427" s="30"/>
      <c r="G427" s="5"/>
      <c r="H427" s="31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ht="14.25">
      <c r="A428" s="106" t="s">
        <v>234</v>
      </c>
      <c r="B428" s="68" t="s">
        <v>195</v>
      </c>
      <c r="C428" s="30"/>
      <c r="D428" s="31"/>
      <c r="E428" s="69"/>
      <c r="F428" s="30"/>
      <c r="G428" s="5"/>
      <c r="H428" s="31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ht="14.25">
      <c r="A429" s="106" t="s">
        <v>235</v>
      </c>
      <c r="B429" s="68" t="s">
        <v>195</v>
      </c>
      <c r="C429" s="30"/>
      <c r="D429" s="31"/>
      <c r="E429" s="69"/>
      <c r="F429" s="30"/>
      <c r="G429" s="5"/>
      <c r="H429" s="31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ht="14.25">
      <c r="A430" s="106" t="s">
        <v>236</v>
      </c>
      <c r="B430" s="68" t="s">
        <v>195</v>
      </c>
      <c r="C430" s="30"/>
      <c r="D430" s="31"/>
      <c r="E430" s="69"/>
      <c r="F430" s="30"/>
      <c r="G430" s="5"/>
      <c r="H430" s="31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ht="28.5">
      <c r="A431" s="106" t="s">
        <v>237</v>
      </c>
      <c r="B431" s="68" t="s">
        <v>195</v>
      </c>
      <c r="C431" s="30"/>
      <c r="D431" s="31"/>
      <c r="E431" s="69"/>
      <c r="F431" s="30"/>
      <c r="G431" s="5"/>
      <c r="H431" s="31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ht="14.25">
      <c r="A432" s="106" t="s">
        <v>238</v>
      </c>
      <c r="B432" s="68" t="s">
        <v>195</v>
      </c>
      <c r="C432" s="30"/>
      <c r="D432" s="31"/>
      <c r="E432" s="69"/>
      <c r="F432" s="30"/>
      <c r="G432" s="5"/>
      <c r="H432" s="31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14.25">
      <c r="A433" s="99" t="s">
        <v>239</v>
      </c>
      <c r="B433" s="68" t="s">
        <v>195</v>
      </c>
      <c r="C433" s="30"/>
      <c r="D433" s="31"/>
      <c r="E433" s="69"/>
      <c r="F433" s="30"/>
      <c r="G433" s="5"/>
      <c r="H433" s="31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14.25">
      <c r="A434" s="104" t="s">
        <v>240</v>
      </c>
      <c r="B434" s="68" t="s">
        <v>195</v>
      </c>
      <c r="C434" s="30"/>
      <c r="D434" s="31"/>
      <c r="E434" s="69"/>
      <c r="F434" s="30"/>
      <c r="G434" s="5"/>
      <c r="H434" s="31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28.5">
      <c r="A435" s="99" t="s">
        <v>241</v>
      </c>
      <c r="B435" s="68" t="s">
        <v>195</v>
      </c>
      <c r="C435" s="30"/>
      <c r="D435" s="31"/>
      <c r="E435" s="69"/>
      <c r="F435" s="30"/>
      <c r="G435" s="5"/>
      <c r="H435" s="31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ht="15">
      <c r="A436" s="93" t="s">
        <v>242</v>
      </c>
      <c r="B436" s="65"/>
      <c r="C436" s="30"/>
      <c r="D436" s="31"/>
      <c r="E436" s="69"/>
      <c r="F436" s="30"/>
      <c r="G436" s="5"/>
      <c r="H436" s="31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 ht="15">
      <c r="A437" s="93" t="s">
        <v>243</v>
      </c>
      <c r="B437" s="65" t="s">
        <v>195</v>
      </c>
      <c r="C437" s="54">
        <v>5898.3</v>
      </c>
      <c r="D437" s="55">
        <v>7007.9</v>
      </c>
      <c r="E437" s="82">
        <v>8167</v>
      </c>
      <c r="F437" s="54">
        <v>9215.4</v>
      </c>
      <c r="G437" s="16">
        <v>10408</v>
      </c>
      <c r="H437" s="61">
        <v>11848</v>
      </c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 ht="14.25">
      <c r="A438" s="90" t="s">
        <v>122</v>
      </c>
      <c r="B438" s="65"/>
      <c r="C438" s="56">
        <v>0.98</v>
      </c>
      <c r="D438" s="57">
        <v>1.19</v>
      </c>
      <c r="E438" s="80">
        <v>1.17</v>
      </c>
      <c r="F438" s="56">
        <v>1.13</v>
      </c>
      <c r="G438" s="18">
        <v>1.13</v>
      </c>
      <c r="H438" s="57">
        <v>1.14</v>
      </c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 ht="14.25">
      <c r="A439" s="91" t="s">
        <v>244</v>
      </c>
      <c r="B439" s="65" t="s">
        <v>195</v>
      </c>
      <c r="C439" s="54">
        <v>370</v>
      </c>
      <c r="D439" s="55">
        <v>439</v>
      </c>
      <c r="E439" s="79">
        <v>504</v>
      </c>
      <c r="F439" s="54">
        <v>579</v>
      </c>
      <c r="G439" s="15">
        <v>667</v>
      </c>
      <c r="H439" s="55">
        <v>767</v>
      </c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 ht="14.25">
      <c r="A440" s="91" t="s">
        <v>245</v>
      </c>
      <c r="B440" s="65" t="s">
        <v>195</v>
      </c>
      <c r="C440" s="60">
        <v>3473</v>
      </c>
      <c r="D440" s="61">
        <v>4002.5</v>
      </c>
      <c r="E440" s="82">
        <v>4891.7</v>
      </c>
      <c r="F440" s="60">
        <v>5625.5</v>
      </c>
      <c r="G440" s="16">
        <v>6525.2</v>
      </c>
      <c r="H440" s="61">
        <v>7635</v>
      </c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 ht="14.25">
      <c r="A441" s="91" t="s">
        <v>246</v>
      </c>
      <c r="B441" s="65" t="s">
        <v>195</v>
      </c>
      <c r="C441" s="54">
        <v>1096.5</v>
      </c>
      <c r="D441" s="55">
        <v>1447.4</v>
      </c>
      <c r="E441" s="79">
        <v>1563.2</v>
      </c>
      <c r="F441" s="54">
        <v>1709.3</v>
      </c>
      <c r="G441" s="15">
        <v>1863.9</v>
      </c>
      <c r="H441" s="55">
        <v>2026.4</v>
      </c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 ht="14.25">
      <c r="A442" s="91" t="s">
        <v>247</v>
      </c>
      <c r="B442" s="65" t="s">
        <v>195</v>
      </c>
      <c r="C442" s="54">
        <v>697.8</v>
      </c>
      <c r="D442" s="55">
        <v>959.3</v>
      </c>
      <c r="E442" s="79">
        <v>1088.9</v>
      </c>
      <c r="F442" s="54">
        <v>1182.6</v>
      </c>
      <c r="G442" s="15">
        <v>1285.2</v>
      </c>
      <c r="H442" s="55">
        <v>1395.7</v>
      </c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 ht="14.25">
      <c r="A443" s="91" t="s">
        <v>248</v>
      </c>
      <c r="B443" s="65" t="s">
        <v>195</v>
      </c>
      <c r="C443" s="54">
        <v>394</v>
      </c>
      <c r="D443" s="55">
        <v>483</v>
      </c>
      <c r="E443" s="79">
        <v>469</v>
      </c>
      <c r="F443" s="54">
        <v>521</v>
      </c>
      <c r="G443" s="15">
        <v>573</v>
      </c>
      <c r="H443" s="55">
        <v>625</v>
      </c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 ht="14.25">
      <c r="A444" s="91" t="s">
        <v>249</v>
      </c>
      <c r="B444" s="65" t="s">
        <v>195</v>
      </c>
      <c r="C444" s="7"/>
      <c r="D444" s="7"/>
      <c r="E444" s="7"/>
      <c r="F444" s="7"/>
      <c r="G444" s="7"/>
      <c r="H444" s="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 ht="14.25">
      <c r="A445" s="91" t="s">
        <v>250</v>
      </c>
      <c r="B445" s="65" t="s">
        <v>195</v>
      </c>
      <c r="C445" s="54">
        <v>4.7</v>
      </c>
      <c r="D445" s="55">
        <v>5</v>
      </c>
      <c r="E445" s="79">
        <v>5.3</v>
      </c>
      <c r="F445" s="54">
        <v>5.7</v>
      </c>
      <c r="G445" s="15">
        <v>5.7</v>
      </c>
      <c r="H445" s="55">
        <v>5.7</v>
      </c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 ht="42.75">
      <c r="A446" s="91" t="s">
        <v>251</v>
      </c>
      <c r="B446" s="65" t="s">
        <v>195</v>
      </c>
      <c r="C446" s="54">
        <v>140</v>
      </c>
      <c r="D446" s="55">
        <v>176.6</v>
      </c>
      <c r="E446" s="79">
        <v>216.6</v>
      </c>
      <c r="F446" s="54">
        <v>258.6</v>
      </c>
      <c r="G446" s="15">
        <v>265</v>
      </c>
      <c r="H446" s="55">
        <v>289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 ht="14.25">
      <c r="A447" s="91" t="s">
        <v>252</v>
      </c>
      <c r="B447" s="65" t="s">
        <v>195</v>
      </c>
      <c r="C447" s="54">
        <v>818.8</v>
      </c>
      <c r="D447" s="55">
        <v>942.4</v>
      </c>
      <c r="E447" s="79">
        <v>991</v>
      </c>
      <c r="F447" s="54">
        <v>1043</v>
      </c>
      <c r="G447" s="15">
        <v>1087</v>
      </c>
      <c r="H447" s="55">
        <v>1131</v>
      </c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 ht="14.25">
      <c r="A448" s="89" t="s">
        <v>253</v>
      </c>
      <c r="B448" s="65" t="s">
        <v>8</v>
      </c>
      <c r="C448" s="122">
        <v>0.93</v>
      </c>
      <c r="D448" s="123">
        <v>1.13</v>
      </c>
      <c r="E448" s="124">
        <v>1.1</v>
      </c>
      <c r="F448" s="122">
        <v>1.08</v>
      </c>
      <c r="G448" s="125">
        <v>1.08</v>
      </c>
      <c r="H448" s="123">
        <v>1.1</v>
      </c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 ht="28.5">
      <c r="A449" s="89" t="s">
        <v>254</v>
      </c>
      <c r="B449" s="65" t="s">
        <v>255</v>
      </c>
      <c r="C449" s="58">
        <v>11095</v>
      </c>
      <c r="D449" s="59">
        <v>12862</v>
      </c>
      <c r="E449" s="81">
        <v>14877</v>
      </c>
      <c r="F449" s="58">
        <v>16654</v>
      </c>
      <c r="G449" s="17">
        <v>18674</v>
      </c>
      <c r="H449" s="59">
        <v>21101</v>
      </c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 ht="15">
      <c r="A450" s="93" t="s">
        <v>256</v>
      </c>
      <c r="B450" s="65" t="s">
        <v>195</v>
      </c>
      <c r="C450" s="60">
        <v>3634.8</v>
      </c>
      <c r="D450" s="61">
        <v>3996.7</v>
      </c>
      <c r="E450" s="82">
        <v>4316</v>
      </c>
      <c r="F450" s="60">
        <v>4783</v>
      </c>
      <c r="G450" s="16">
        <v>5307</v>
      </c>
      <c r="H450" s="61">
        <v>5892</v>
      </c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 ht="14.25">
      <c r="A451" s="90" t="s">
        <v>122</v>
      </c>
      <c r="B451" s="65" t="s">
        <v>257</v>
      </c>
      <c r="C451" s="56"/>
      <c r="D451" s="57">
        <v>1.1</v>
      </c>
      <c r="E451" s="80">
        <v>1.08</v>
      </c>
      <c r="F451" s="56">
        <v>1.11</v>
      </c>
      <c r="G451" s="18">
        <v>1.11</v>
      </c>
      <c r="H451" s="57">
        <v>1.11</v>
      </c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 ht="14.25">
      <c r="A452" s="91" t="s">
        <v>258</v>
      </c>
      <c r="B452" s="65" t="s">
        <v>195</v>
      </c>
      <c r="C452" s="54">
        <v>2402</v>
      </c>
      <c r="D452" s="55">
        <v>2572</v>
      </c>
      <c r="E452" s="79">
        <v>2851</v>
      </c>
      <c r="F452" s="54">
        <v>3161</v>
      </c>
      <c r="G452" s="15">
        <v>3529</v>
      </c>
      <c r="H452" s="55">
        <v>3960</v>
      </c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 ht="14.25">
      <c r="A453" s="107" t="s">
        <v>179</v>
      </c>
      <c r="B453" s="65"/>
      <c r="C453" s="54"/>
      <c r="D453" s="55"/>
      <c r="E453" s="79"/>
      <c r="F453" s="54"/>
      <c r="G453" s="15"/>
      <c r="H453" s="55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 ht="14.25">
      <c r="A454" s="96" t="s">
        <v>373</v>
      </c>
      <c r="B454" s="65" t="s">
        <v>195</v>
      </c>
      <c r="C454" s="54">
        <v>1953</v>
      </c>
      <c r="D454" s="55">
        <v>2116</v>
      </c>
      <c r="E454" s="79">
        <v>2337</v>
      </c>
      <c r="F454" s="54">
        <v>2581</v>
      </c>
      <c r="G454" s="15">
        <v>2872</v>
      </c>
      <c r="H454" s="55">
        <v>3213</v>
      </c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 ht="14.25">
      <c r="A455" s="96" t="s">
        <v>372</v>
      </c>
      <c r="B455" s="65" t="s">
        <v>195</v>
      </c>
      <c r="C455" s="54">
        <f aca="true" t="shared" si="0" ref="C455:H455">C452-C454</f>
        <v>449</v>
      </c>
      <c r="D455" s="54">
        <f t="shared" si="0"/>
        <v>456</v>
      </c>
      <c r="E455" s="54">
        <f t="shared" si="0"/>
        <v>514</v>
      </c>
      <c r="F455" s="54">
        <f t="shared" si="0"/>
        <v>580</v>
      </c>
      <c r="G455" s="54">
        <f t="shared" si="0"/>
        <v>657</v>
      </c>
      <c r="H455" s="54">
        <f t="shared" si="0"/>
        <v>747</v>
      </c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 ht="14.25">
      <c r="A456" s="91" t="s">
        <v>259</v>
      </c>
      <c r="B456" s="65" t="s">
        <v>195</v>
      </c>
      <c r="C456" s="54">
        <v>832.3</v>
      </c>
      <c r="D456" s="55">
        <v>942.8</v>
      </c>
      <c r="E456" s="79">
        <v>976.7</v>
      </c>
      <c r="F456" s="54">
        <v>1032.4</v>
      </c>
      <c r="G456" s="16">
        <v>1087</v>
      </c>
      <c r="H456" s="61">
        <v>1140</v>
      </c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 ht="28.5">
      <c r="A457" s="91" t="s">
        <v>260</v>
      </c>
      <c r="B457" s="65" t="s">
        <v>195</v>
      </c>
      <c r="C457" s="54">
        <v>400.4</v>
      </c>
      <c r="D457" s="55">
        <v>481.8</v>
      </c>
      <c r="E457" s="79">
        <v>488.8</v>
      </c>
      <c r="F457" s="60">
        <v>589.6</v>
      </c>
      <c r="G457" s="16">
        <v>691</v>
      </c>
      <c r="H457" s="61">
        <v>792</v>
      </c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 ht="28.5">
      <c r="A458" s="89" t="s">
        <v>261</v>
      </c>
      <c r="B458" s="65" t="s">
        <v>195</v>
      </c>
      <c r="C458" s="60">
        <v>2263.5</v>
      </c>
      <c r="D458" s="61">
        <v>3011</v>
      </c>
      <c r="E458" s="82">
        <v>3851</v>
      </c>
      <c r="F458" s="60">
        <v>4443</v>
      </c>
      <c r="G458" s="16">
        <v>5101</v>
      </c>
      <c r="H458" s="61">
        <v>5956</v>
      </c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 ht="14.25">
      <c r="A459" s="89" t="s">
        <v>262</v>
      </c>
      <c r="B459" s="65" t="s">
        <v>263</v>
      </c>
      <c r="C459" s="58">
        <v>6835</v>
      </c>
      <c r="D459" s="59">
        <v>7335</v>
      </c>
      <c r="E459" s="81">
        <v>7863</v>
      </c>
      <c r="F459" s="58">
        <v>8643</v>
      </c>
      <c r="G459" s="17">
        <v>9522</v>
      </c>
      <c r="H459" s="59">
        <v>10493</v>
      </c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 ht="42.75">
      <c r="A460" s="89" t="s">
        <v>264</v>
      </c>
      <c r="B460" s="65" t="s">
        <v>263</v>
      </c>
      <c r="C460" s="60">
        <v>5821.1</v>
      </c>
      <c r="D460" s="61">
        <v>7117.6</v>
      </c>
      <c r="E460" s="82">
        <v>7789.3</v>
      </c>
      <c r="F460" s="60">
        <v>8490.3</v>
      </c>
      <c r="G460" s="16">
        <v>9254.4</v>
      </c>
      <c r="H460" s="61">
        <v>10087.3</v>
      </c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 ht="18.75">
      <c r="A461" s="88" t="s">
        <v>266</v>
      </c>
      <c r="B461" s="65"/>
      <c r="C461" s="30"/>
      <c r="D461" s="31"/>
      <c r="E461" s="69"/>
      <c r="F461" s="30"/>
      <c r="G461" s="5"/>
      <c r="H461" s="31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 ht="14.25">
      <c r="A462" s="89" t="s">
        <v>267</v>
      </c>
      <c r="B462" s="65" t="s">
        <v>7</v>
      </c>
      <c r="C462" s="30">
        <v>28.41</v>
      </c>
      <c r="D462" s="31">
        <v>27.99</v>
      </c>
      <c r="E462" s="69">
        <v>27.94</v>
      </c>
      <c r="F462" s="30">
        <v>27.95</v>
      </c>
      <c r="G462" s="30">
        <v>27.95</v>
      </c>
      <c r="H462" s="30">
        <v>27.95</v>
      </c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 ht="28.5">
      <c r="A463" s="89" t="s">
        <v>268</v>
      </c>
      <c r="B463" s="65" t="s">
        <v>7</v>
      </c>
      <c r="C463" s="128">
        <v>21.3</v>
      </c>
      <c r="D463" s="129">
        <v>22.296</v>
      </c>
      <c r="E463" s="130">
        <v>23.04</v>
      </c>
      <c r="F463" s="128">
        <v>23.853</v>
      </c>
      <c r="G463" s="128">
        <v>23.853</v>
      </c>
      <c r="H463" s="129">
        <v>24.153</v>
      </c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 ht="28.5">
      <c r="A464" s="89" t="s">
        <v>269</v>
      </c>
      <c r="B464" s="65" t="s">
        <v>257</v>
      </c>
      <c r="C464" s="30"/>
      <c r="D464" s="31"/>
      <c r="E464" s="69"/>
      <c r="F464" s="30"/>
      <c r="G464" s="5"/>
      <c r="H464" s="31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 s="20" customFormat="1" ht="28.5">
      <c r="A465" s="91" t="s">
        <v>270</v>
      </c>
      <c r="B465" s="65" t="s">
        <v>7</v>
      </c>
      <c r="C465" s="30">
        <v>3.693</v>
      </c>
      <c r="D465" s="31">
        <v>4.214</v>
      </c>
      <c r="E465" s="31">
        <v>4.214</v>
      </c>
      <c r="F465" s="31">
        <v>4.214</v>
      </c>
      <c r="G465" s="31">
        <v>4.214</v>
      </c>
      <c r="H465" s="31">
        <v>4.214</v>
      </c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</row>
    <row r="466" spans="1:21" ht="14.25" customHeight="1">
      <c r="A466" s="91" t="s">
        <v>271</v>
      </c>
      <c r="B466" s="65" t="s">
        <v>7</v>
      </c>
      <c r="C466" s="128">
        <v>0.003</v>
      </c>
      <c r="D466" s="129">
        <v>0</v>
      </c>
      <c r="E466" s="129">
        <v>0</v>
      </c>
      <c r="F466" s="129">
        <v>0</v>
      </c>
      <c r="G466" s="129">
        <v>0</v>
      </c>
      <c r="H466" s="129">
        <v>0</v>
      </c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 ht="28.5">
      <c r="A467" s="91" t="s">
        <v>346</v>
      </c>
      <c r="B467" s="65" t="s">
        <v>7</v>
      </c>
      <c r="C467" s="127">
        <v>0.936</v>
      </c>
      <c r="D467" s="127">
        <v>0.982</v>
      </c>
      <c r="E467" s="127">
        <v>1.126</v>
      </c>
      <c r="F467" s="127">
        <v>1.139</v>
      </c>
      <c r="G467" s="127">
        <v>1.139</v>
      </c>
      <c r="H467" s="127">
        <v>1.139</v>
      </c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 ht="28.5">
      <c r="A468" s="91" t="s">
        <v>347</v>
      </c>
      <c r="B468" s="65" t="s">
        <v>7</v>
      </c>
      <c r="C468" s="30">
        <v>0.265</v>
      </c>
      <c r="D468" s="129">
        <v>0</v>
      </c>
      <c r="E468" s="129">
        <v>0</v>
      </c>
      <c r="F468" s="129">
        <v>0</v>
      </c>
      <c r="G468" s="129">
        <v>0</v>
      </c>
      <c r="H468" s="129">
        <v>0</v>
      </c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 ht="14.25">
      <c r="A469" s="91" t="s">
        <v>272</v>
      </c>
      <c r="B469" s="65" t="s">
        <v>7</v>
      </c>
      <c r="C469" s="30">
        <v>16.7</v>
      </c>
      <c r="D469" s="31">
        <v>17.1</v>
      </c>
      <c r="E469" s="69">
        <v>17.7</v>
      </c>
      <c r="F469" s="30">
        <v>18.5</v>
      </c>
      <c r="G469" s="5">
        <v>18.5</v>
      </c>
      <c r="H469" s="31">
        <v>18.8</v>
      </c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 ht="14.25">
      <c r="A470" s="107" t="s">
        <v>273</v>
      </c>
      <c r="B470" s="65" t="s">
        <v>257</v>
      </c>
      <c r="C470" s="30"/>
      <c r="D470" s="31"/>
      <c r="E470" s="69"/>
      <c r="F470" s="30"/>
      <c r="G470" s="5"/>
      <c r="H470" s="31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 ht="28.5">
      <c r="A471" s="96" t="s">
        <v>274</v>
      </c>
      <c r="B471" s="65" t="s">
        <v>7</v>
      </c>
      <c r="C471" s="30">
        <v>0.2</v>
      </c>
      <c r="D471" s="30">
        <v>0.2</v>
      </c>
      <c r="E471" s="30">
        <v>0.2</v>
      </c>
      <c r="F471" s="30">
        <v>0.2</v>
      </c>
      <c r="G471" s="30">
        <v>0.2</v>
      </c>
      <c r="H471" s="30">
        <v>0.2</v>
      </c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 ht="14.25">
      <c r="A472" s="96" t="s">
        <v>275</v>
      </c>
      <c r="B472" s="65" t="s">
        <v>7</v>
      </c>
      <c r="C472" s="30">
        <v>12.5</v>
      </c>
      <c r="D472" s="31">
        <v>13.2</v>
      </c>
      <c r="E472" s="69">
        <v>13.8</v>
      </c>
      <c r="F472" s="30">
        <v>14.6</v>
      </c>
      <c r="G472" s="5">
        <v>14.6</v>
      </c>
      <c r="H472" s="31">
        <v>14.9</v>
      </c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 ht="57">
      <c r="A473" s="96" t="s">
        <v>276</v>
      </c>
      <c r="B473" s="65" t="s">
        <v>7</v>
      </c>
      <c r="C473" s="30">
        <v>3.6</v>
      </c>
      <c r="D473" s="31">
        <v>3.7</v>
      </c>
      <c r="E473" s="31">
        <v>3.7</v>
      </c>
      <c r="F473" s="31">
        <v>3.7</v>
      </c>
      <c r="G473" s="31">
        <v>3.7</v>
      </c>
      <c r="H473" s="31">
        <v>3.7</v>
      </c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 ht="28.5">
      <c r="A474" s="89" t="s">
        <v>277</v>
      </c>
      <c r="B474" s="65" t="s">
        <v>7</v>
      </c>
      <c r="C474" s="5">
        <v>1.2</v>
      </c>
      <c r="D474" s="5">
        <v>1.2</v>
      </c>
      <c r="E474" s="5">
        <v>1.1</v>
      </c>
      <c r="F474" s="5">
        <v>1.1</v>
      </c>
      <c r="G474" s="5">
        <v>1.1</v>
      </c>
      <c r="H474" s="5">
        <v>1.1</v>
      </c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 ht="28.5">
      <c r="A475" s="89" t="s">
        <v>278</v>
      </c>
      <c r="B475" s="65" t="s">
        <v>7</v>
      </c>
      <c r="C475" s="30">
        <v>5.5</v>
      </c>
      <c r="D475" s="31">
        <v>4.5</v>
      </c>
      <c r="E475" s="69">
        <v>3.8</v>
      </c>
      <c r="F475" s="38">
        <v>3</v>
      </c>
      <c r="G475" s="38">
        <v>3</v>
      </c>
      <c r="H475" s="39">
        <v>2.7</v>
      </c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 ht="14.25">
      <c r="A476" s="89" t="s">
        <v>279</v>
      </c>
      <c r="B476" s="65" t="s">
        <v>265</v>
      </c>
      <c r="C476" s="5">
        <v>3.5</v>
      </c>
      <c r="D476" s="5">
        <v>2.4</v>
      </c>
      <c r="E476" s="5">
        <v>2.3</v>
      </c>
      <c r="F476" s="5">
        <v>2.27</v>
      </c>
      <c r="G476" s="5">
        <v>2.22</v>
      </c>
      <c r="H476" s="5">
        <v>2.15</v>
      </c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 ht="28.5">
      <c r="A477" s="89" t="s">
        <v>280</v>
      </c>
      <c r="B477" s="65" t="s">
        <v>7</v>
      </c>
      <c r="C477" s="126">
        <v>0.977</v>
      </c>
      <c r="D477" s="126">
        <v>0.664</v>
      </c>
      <c r="E477" s="126">
        <v>0.65</v>
      </c>
      <c r="F477" s="126">
        <v>0.64</v>
      </c>
      <c r="G477" s="126">
        <v>0.62</v>
      </c>
      <c r="H477" s="126">
        <v>0.6</v>
      </c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 ht="42.75">
      <c r="A478" s="89" t="s">
        <v>281</v>
      </c>
      <c r="B478" s="65" t="s">
        <v>282</v>
      </c>
      <c r="C478" s="7">
        <v>12</v>
      </c>
      <c r="D478" s="7">
        <v>6</v>
      </c>
      <c r="E478" s="7">
        <v>3</v>
      </c>
      <c r="F478" s="7">
        <v>3</v>
      </c>
      <c r="G478" s="7">
        <v>3</v>
      </c>
      <c r="H478" s="7">
        <v>2</v>
      </c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 ht="28.5">
      <c r="A479" s="89" t="s">
        <v>283</v>
      </c>
      <c r="B479" s="65" t="s">
        <v>7</v>
      </c>
      <c r="C479" s="48">
        <v>15.91</v>
      </c>
      <c r="D479" s="49">
        <v>16.66</v>
      </c>
      <c r="E479" s="76">
        <v>17.3</v>
      </c>
      <c r="F479" s="48">
        <v>18.07</v>
      </c>
      <c r="G479" s="13">
        <v>18.14</v>
      </c>
      <c r="H479" s="49">
        <v>18.39</v>
      </c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 ht="14.25">
      <c r="A480" s="89" t="s">
        <v>284</v>
      </c>
      <c r="B480" s="65" t="s">
        <v>285</v>
      </c>
      <c r="C480" s="30">
        <v>3452.15</v>
      </c>
      <c r="D480" s="31">
        <v>3977.03</v>
      </c>
      <c r="E480" s="69">
        <v>4689.89</v>
      </c>
      <c r="F480" s="30">
        <v>5304.63</v>
      </c>
      <c r="G480" s="5">
        <v>6025.95</v>
      </c>
      <c r="H480" s="31">
        <v>6826.48</v>
      </c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 ht="14.25">
      <c r="A481" s="89" t="s">
        <v>286</v>
      </c>
      <c r="B481" s="65" t="s">
        <v>285</v>
      </c>
      <c r="C481" s="30">
        <v>81.4</v>
      </c>
      <c r="D481" s="31">
        <v>60.1</v>
      </c>
      <c r="E481" s="69">
        <v>81.4</v>
      </c>
      <c r="F481" s="30">
        <v>84.2</v>
      </c>
      <c r="G481" s="5">
        <v>86.1</v>
      </c>
      <c r="H481" s="31">
        <v>89.4</v>
      </c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 ht="18.75">
      <c r="A482" s="88" t="s">
        <v>287</v>
      </c>
      <c r="B482" s="65"/>
      <c r="C482" s="30"/>
      <c r="D482" s="31"/>
      <c r="E482" s="69"/>
      <c r="F482" s="30"/>
      <c r="G482" s="5"/>
      <c r="H482" s="31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 ht="28.5">
      <c r="A483" s="89" t="s">
        <v>288</v>
      </c>
      <c r="B483" s="65" t="s">
        <v>289</v>
      </c>
      <c r="C483" s="30"/>
      <c r="D483" s="31"/>
      <c r="E483" s="69"/>
      <c r="F483" s="30"/>
      <c r="G483" s="5"/>
      <c r="H483" s="31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 ht="15">
      <c r="A484" s="93" t="s">
        <v>290</v>
      </c>
      <c r="B484" s="65"/>
      <c r="C484" s="30"/>
      <c r="D484" s="31"/>
      <c r="E484" s="69"/>
      <c r="F484" s="30"/>
      <c r="G484" s="5"/>
      <c r="H484" s="31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 ht="14.25">
      <c r="A485" s="91" t="s">
        <v>291</v>
      </c>
      <c r="B485" s="65" t="s">
        <v>282</v>
      </c>
      <c r="C485" s="30"/>
      <c r="D485" s="31"/>
      <c r="E485" s="69"/>
      <c r="F485" s="30"/>
      <c r="G485" s="5"/>
      <c r="H485" s="31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 ht="14.25">
      <c r="A486" s="91" t="s">
        <v>292</v>
      </c>
      <c r="B486" s="65" t="s">
        <v>289</v>
      </c>
      <c r="C486" s="30"/>
      <c r="D486" s="31"/>
      <c r="E486" s="69"/>
      <c r="F486" s="30"/>
      <c r="G486" s="5"/>
      <c r="H486" s="31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 ht="14.25">
      <c r="A487" s="91" t="s">
        <v>293</v>
      </c>
      <c r="B487" s="65" t="s">
        <v>289</v>
      </c>
      <c r="C487" s="30"/>
      <c r="D487" s="31"/>
      <c r="E487" s="69"/>
      <c r="F487" s="30"/>
      <c r="G487" s="5"/>
      <c r="H487" s="31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 ht="14.25">
      <c r="A488" s="91" t="s">
        <v>294</v>
      </c>
      <c r="B488" s="65" t="s">
        <v>289</v>
      </c>
      <c r="C488" s="30"/>
      <c r="D488" s="31"/>
      <c r="E488" s="69"/>
      <c r="F488" s="30"/>
      <c r="G488" s="5"/>
      <c r="H488" s="31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 ht="15">
      <c r="A489" s="93" t="s">
        <v>295</v>
      </c>
      <c r="B489" s="65" t="s">
        <v>257</v>
      </c>
      <c r="C489" s="30"/>
      <c r="D489" s="31"/>
      <c r="E489" s="69"/>
      <c r="F489" s="30"/>
      <c r="G489" s="5"/>
      <c r="H489" s="31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 ht="14.25">
      <c r="A490" s="91" t="s">
        <v>293</v>
      </c>
      <c r="B490" s="65" t="s">
        <v>282</v>
      </c>
      <c r="C490" s="30"/>
      <c r="D490" s="31"/>
      <c r="E490" s="69"/>
      <c r="F490" s="30"/>
      <c r="G490" s="5"/>
      <c r="H490" s="31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 ht="14.25">
      <c r="A491" s="91" t="s">
        <v>294</v>
      </c>
      <c r="B491" s="65" t="s">
        <v>282</v>
      </c>
      <c r="C491" s="30"/>
      <c r="D491" s="31"/>
      <c r="E491" s="69"/>
      <c r="F491" s="30"/>
      <c r="G491" s="5"/>
      <c r="H491" s="31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 ht="42.75">
      <c r="A492" s="89" t="s">
        <v>296</v>
      </c>
      <c r="B492" s="65" t="s">
        <v>297</v>
      </c>
      <c r="C492" s="30"/>
      <c r="D492" s="31"/>
      <c r="E492" s="69"/>
      <c r="F492" s="30"/>
      <c r="G492" s="5"/>
      <c r="H492" s="31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 ht="14.25">
      <c r="A493" s="91" t="s">
        <v>298</v>
      </c>
      <c r="B493" s="65" t="s">
        <v>297</v>
      </c>
      <c r="C493" s="30"/>
      <c r="D493" s="31"/>
      <c r="E493" s="69"/>
      <c r="F493" s="30"/>
      <c r="G493" s="5"/>
      <c r="H493" s="31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 ht="14.25">
      <c r="A494" s="91" t="s">
        <v>299</v>
      </c>
      <c r="B494" s="65" t="s">
        <v>297</v>
      </c>
      <c r="C494" s="30"/>
      <c r="D494" s="31"/>
      <c r="E494" s="69"/>
      <c r="F494" s="30"/>
      <c r="G494" s="5"/>
      <c r="H494" s="31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 ht="42.75">
      <c r="A495" s="89" t="s">
        <v>300</v>
      </c>
      <c r="B495" s="65" t="s">
        <v>301</v>
      </c>
      <c r="C495" s="30"/>
      <c r="D495" s="31"/>
      <c r="E495" s="69"/>
      <c r="F495" s="30"/>
      <c r="G495" s="5"/>
      <c r="H495" s="31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 ht="15">
      <c r="A496" s="93" t="s">
        <v>302</v>
      </c>
      <c r="B496" s="65"/>
      <c r="C496" s="30"/>
      <c r="D496" s="31"/>
      <c r="E496" s="69"/>
      <c r="F496" s="30"/>
      <c r="G496" s="5"/>
      <c r="H496" s="31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 ht="14.25">
      <c r="A497" s="91" t="s">
        <v>303</v>
      </c>
      <c r="B497" s="65" t="s">
        <v>304</v>
      </c>
      <c r="C497" s="30"/>
      <c r="D497" s="31"/>
      <c r="E497" s="69"/>
      <c r="F497" s="30"/>
      <c r="G497" s="5"/>
      <c r="H497" s="31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 ht="14.25">
      <c r="A498" s="91" t="s">
        <v>306</v>
      </c>
      <c r="B498" s="65" t="s">
        <v>399</v>
      </c>
      <c r="C498" s="30"/>
      <c r="D498" s="31"/>
      <c r="E498" s="69"/>
      <c r="F498" s="30"/>
      <c r="G498" s="5"/>
      <c r="H498" s="31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 ht="14.25">
      <c r="A499" s="91" t="s">
        <v>308</v>
      </c>
      <c r="B499" s="65" t="s">
        <v>309</v>
      </c>
      <c r="C499" s="30"/>
      <c r="D499" s="31"/>
      <c r="E499" s="69"/>
      <c r="F499" s="30"/>
      <c r="G499" s="5"/>
      <c r="H499" s="31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 ht="14.25">
      <c r="A500" s="91" t="s">
        <v>310</v>
      </c>
      <c r="B500" s="65" t="s">
        <v>309</v>
      </c>
      <c r="C500" s="30"/>
      <c r="D500" s="31"/>
      <c r="E500" s="69"/>
      <c r="F500" s="30"/>
      <c r="G500" s="5"/>
      <c r="H500" s="31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 ht="42.75">
      <c r="A501" s="91" t="s">
        <v>311</v>
      </c>
      <c r="B501" s="65" t="s">
        <v>305</v>
      </c>
      <c r="C501" s="30"/>
      <c r="D501" s="31"/>
      <c r="E501" s="69"/>
      <c r="F501" s="30"/>
      <c r="G501" s="5"/>
      <c r="H501" s="31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 ht="14.25">
      <c r="A502" s="91" t="s">
        <v>312</v>
      </c>
      <c r="B502" s="65" t="s">
        <v>313</v>
      </c>
      <c r="C502" s="30"/>
      <c r="D502" s="31"/>
      <c r="E502" s="69"/>
      <c r="F502" s="30"/>
      <c r="G502" s="5"/>
      <c r="H502" s="31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 ht="14.25">
      <c r="A503" s="91" t="s">
        <v>314</v>
      </c>
      <c r="B503" s="65" t="s">
        <v>313</v>
      </c>
      <c r="C503" s="30"/>
      <c r="D503" s="31"/>
      <c r="E503" s="69"/>
      <c r="F503" s="30"/>
      <c r="G503" s="5"/>
      <c r="H503" s="31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 ht="19.5">
      <c r="A504" s="91" t="s">
        <v>315</v>
      </c>
      <c r="B504" s="65" t="s">
        <v>316</v>
      </c>
      <c r="C504" s="30"/>
      <c r="D504" s="31"/>
      <c r="E504" s="69"/>
      <c r="F504" s="30"/>
      <c r="G504" s="5"/>
      <c r="H504" s="31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 ht="30">
      <c r="A505" s="93" t="s">
        <v>317</v>
      </c>
      <c r="B505" s="65" t="s">
        <v>318</v>
      </c>
      <c r="C505" s="30">
        <v>49.4</v>
      </c>
      <c r="D505" s="31">
        <v>52.8</v>
      </c>
      <c r="E505" s="69">
        <v>55</v>
      </c>
      <c r="F505" s="30">
        <v>55</v>
      </c>
      <c r="G505" s="5">
        <v>57</v>
      </c>
      <c r="H505" s="31">
        <v>62</v>
      </c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 ht="14.25">
      <c r="A506" s="91" t="s">
        <v>319</v>
      </c>
      <c r="B506" s="65"/>
      <c r="C506" s="30"/>
      <c r="D506" s="31"/>
      <c r="E506" s="69"/>
      <c r="F506" s="30"/>
      <c r="G506" s="5"/>
      <c r="H506" s="31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 ht="14.25">
      <c r="A507" s="90" t="s">
        <v>219</v>
      </c>
      <c r="B507" s="65" t="s">
        <v>318</v>
      </c>
      <c r="C507" s="30" t="s">
        <v>400</v>
      </c>
      <c r="D507" s="31">
        <v>0.6</v>
      </c>
      <c r="E507" s="69"/>
      <c r="F507" s="30"/>
      <c r="G507" s="5"/>
      <c r="H507" s="31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 ht="14.25">
      <c r="A508" s="96" t="s">
        <v>320</v>
      </c>
      <c r="B508" s="65"/>
      <c r="C508" s="30"/>
      <c r="D508" s="31"/>
      <c r="E508" s="69"/>
      <c r="F508" s="30"/>
      <c r="G508" s="5"/>
      <c r="H508" s="31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 ht="14.25">
      <c r="A509" s="90" t="s">
        <v>321</v>
      </c>
      <c r="B509" s="65"/>
      <c r="C509" s="30">
        <v>0.5</v>
      </c>
      <c r="D509" s="31">
        <v>0.4</v>
      </c>
      <c r="E509" s="69"/>
      <c r="F509" s="30"/>
      <c r="G509" s="5"/>
      <c r="H509" s="31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 ht="14.25">
      <c r="A510" s="96" t="s">
        <v>397</v>
      </c>
      <c r="B510" s="65"/>
      <c r="C510" s="30"/>
      <c r="D510" s="31"/>
      <c r="E510" s="69"/>
      <c r="F510" s="30"/>
      <c r="G510" s="5"/>
      <c r="H510" s="31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 ht="14.25">
      <c r="A511" s="90" t="s">
        <v>323</v>
      </c>
      <c r="B511" s="65"/>
      <c r="C511" s="30">
        <v>0.8</v>
      </c>
      <c r="D511" s="31">
        <v>0.05</v>
      </c>
      <c r="E511" s="69"/>
      <c r="F511" s="30"/>
      <c r="G511" s="5"/>
      <c r="H511" s="31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 ht="14.25">
      <c r="A512" s="96" t="s">
        <v>324</v>
      </c>
      <c r="B512" s="65"/>
      <c r="C512" s="30"/>
      <c r="D512" s="31"/>
      <c r="E512" s="69"/>
      <c r="F512" s="30"/>
      <c r="G512" s="5"/>
      <c r="H512" s="31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 ht="42.75">
      <c r="A513" s="89" t="s">
        <v>325</v>
      </c>
      <c r="B513" s="65" t="s">
        <v>318</v>
      </c>
      <c r="C513" s="30">
        <v>46.4</v>
      </c>
      <c r="D513" s="31">
        <v>32.8</v>
      </c>
      <c r="E513" s="69">
        <v>19</v>
      </c>
      <c r="F513" s="30">
        <v>24.7</v>
      </c>
      <c r="G513" s="5">
        <v>28.5</v>
      </c>
      <c r="H513" s="31">
        <v>35.7</v>
      </c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 ht="28.5">
      <c r="A514" s="89" t="s">
        <v>326</v>
      </c>
      <c r="B514" s="65" t="s">
        <v>327</v>
      </c>
      <c r="C514" s="30"/>
      <c r="D514" s="31"/>
      <c r="E514" s="69"/>
      <c r="F514" s="30"/>
      <c r="G514" s="5"/>
      <c r="H514" s="31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 ht="42.75">
      <c r="A515" s="89" t="s">
        <v>328</v>
      </c>
      <c r="B515" s="65" t="s">
        <v>329</v>
      </c>
      <c r="C515" s="30">
        <v>212487</v>
      </c>
      <c r="D515" s="31">
        <v>215325.9</v>
      </c>
      <c r="E515" s="69">
        <v>236858.49</v>
      </c>
      <c r="F515" s="30">
        <v>253438.6</v>
      </c>
      <c r="G515" s="5">
        <v>266110.51</v>
      </c>
      <c r="H515" s="31">
        <v>285348.5</v>
      </c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 ht="28.5">
      <c r="A516" s="89" t="s">
        <v>330</v>
      </c>
      <c r="B516" s="65" t="s">
        <v>265</v>
      </c>
      <c r="C516" s="30">
        <v>90</v>
      </c>
      <c r="D516" s="31">
        <v>84.04</v>
      </c>
      <c r="E516" s="69">
        <v>84.25</v>
      </c>
      <c r="F516" s="30">
        <v>88.22</v>
      </c>
      <c r="G516" s="5">
        <v>95.7</v>
      </c>
      <c r="H516" s="31">
        <v>100</v>
      </c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 ht="14.25">
      <c r="A517" s="89" t="s">
        <v>331</v>
      </c>
      <c r="B517" s="65" t="s">
        <v>332</v>
      </c>
      <c r="C517" s="30"/>
      <c r="D517" s="31"/>
      <c r="E517" s="69"/>
      <c r="F517" s="30"/>
      <c r="G517" s="5"/>
      <c r="H517" s="31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 ht="28.5">
      <c r="A518" s="89" t="s">
        <v>333</v>
      </c>
      <c r="B518" s="65" t="s">
        <v>334</v>
      </c>
      <c r="C518" s="30"/>
      <c r="D518" s="31"/>
      <c r="E518" s="69"/>
      <c r="F518" s="30"/>
      <c r="G518" s="5"/>
      <c r="H518" s="31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 ht="45" customHeight="1" thickBot="1">
      <c r="A519" s="108" t="s">
        <v>333</v>
      </c>
      <c r="B519" s="109" t="s">
        <v>335</v>
      </c>
      <c r="C519" s="62"/>
      <c r="D519" s="64"/>
      <c r="E519" s="110"/>
      <c r="F519" s="62"/>
      <c r="G519" s="63"/>
      <c r="H519" s="6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3:21" ht="12.75">
      <c r="C520" s="21"/>
      <c r="D520" s="21"/>
      <c r="E520" s="21"/>
      <c r="F520" s="21"/>
      <c r="G520" s="21"/>
      <c r="H520" s="21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3:21" ht="12.75">
      <c r="C521" s="21"/>
      <c r="D521" s="21"/>
      <c r="E521" s="21"/>
      <c r="F521" s="21"/>
      <c r="G521" s="21"/>
      <c r="H521" s="21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3:21" ht="12.75">
      <c r="C522" s="21"/>
      <c r="D522" s="21"/>
      <c r="E522" s="21"/>
      <c r="F522" s="21"/>
      <c r="G522" s="21"/>
      <c r="H522" s="21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3:21" ht="12.75">
      <c r="C523" s="21"/>
      <c r="D523" s="21"/>
      <c r="E523" s="21"/>
      <c r="F523" s="21"/>
      <c r="G523" s="21"/>
      <c r="H523" s="21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3:21" ht="12.75">
      <c r="C524" s="21"/>
      <c r="D524" s="21"/>
      <c r="E524" s="21"/>
      <c r="F524" s="21"/>
      <c r="G524" s="21"/>
      <c r="H524" s="21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3:21" ht="12.75">
      <c r="C525" s="21"/>
      <c r="D525" s="21"/>
      <c r="E525" s="21"/>
      <c r="F525" s="21"/>
      <c r="G525" s="21"/>
      <c r="H525" s="21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3:21" ht="12.75">
      <c r="C526" s="21"/>
      <c r="D526" s="21"/>
      <c r="E526" s="21"/>
      <c r="F526" s="21"/>
      <c r="G526" s="21"/>
      <c r="H526" s="21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3:21" ht="12.75">
      <c r="C527" s="21"/>
      <c r="D527" s="21"/>
      <c r="E527" s="21"/>
      <c r="F527" s="21"/>
      <c r="G527" s="21"/>
      <c r="H527" s="21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3:21" ht="12.75">
      <c r="C528" s="21"/>
      <c r="D528" s="21"/>
      <c r="E528" s="21"/>
      <c r="F528" s="21"/>
      <c r="G528" s="21"/>
      <c r="H528" s="21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3:21" ht="12.75">
      <c r="C529" s="21"/>
      <c r="D529" s="21"/>
      <c r="E529" s="21"/>
      <c r="F529" s="21"/>
      <c r="G529" s="21"/>
      <c r="H529" s="21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3:21" ht="12.75">
      <c r="C530" s="21"/>
      <c r="D530" s="21"/>
      <c r="E530" s="21"/>
      <c r="F530" s="21"/>
      <c r="G530" s="21"/>
      <c r="H530" s="21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3:21" ht="12.75">
      <c r="C531" s="21"/>
      <c r="D531" s="21"/>
      <c r="E531" s="21"/>
      <c r="F531" s="21"/>
      <c r="G531" s="21"/>
      <c r="H531" s="21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3:21" ht="12.75">
      <c r="C532" s="21"/>
      <c r="D532" s="21"/>
      <c r="E532" s="21"/>
      <c r="F532" s="21"/>
      <c r="G532" s="21"/>
      <c r="H532" s="21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3:21" ht="12.75">
      <c r="C533" s="21"/>
      <c r="D533" s="21"/>
      <c r="E533" s="21"/>
      <c r="F533" s="21"/>
      <c r="G533" s="21"/>
      <c r="H533" s="21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3:21" ht="12.75">
      <c r="C534" s="21"/>
      <c r="D534" s="21"/>
      <c r="E534" s="21"/>
      <c r="F534" s="21"/>
      <c r="G534" s="21"/>
      <c r="H534" s="21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3:21" ht="12.75">
      <c r="C535" s="21"/>
      <c r="D535" s="21"/>
      <c r="E535" s="21"/>
      <c r="F535" s="21"/>
      <c r="G535" s="21"/>
      <c r="H535" s="21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3:21" ht="12.75">
      <c r="C536" s="21"/>
      <c r="D536" s="21"/>
      <c r="E536" s="21"/>
      <c r="F536" s="21"/>
      <c r="G536" s="21"/>
      <c r="H536" s="21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3:21" ht="12.75">
      <c r="C537" s="21"/>
      <c r="D537" s="21"/>
      <c r="E537" s="21"/>
      <c r="F537" s="21"/>
      <c r="G537" s="21"/>
      <c r="H537" s="21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3:21" ht="12.75">
      <c r="C538" s="21"/>
      <c r="D538" s="21"/>
      <c r="E538" s="21"/>
      <c r="F538" s="21"/>
      <c r="G538" s="21"/>
      <c r="H538" s="21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3:21" ht="12.75">
      <c r="C539" s="21"/>
      <c r="D539" s="21"/>
      <c r="E539" s="21"/>
      <c r="F539" s="21"/>
      <c r="G539" s="21"/>
      <c r="H539" s="21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3:21" ht="12.75">
      <c r="C540" s="21"/>
      <c r="D540" s="21"/>
      <c r="E540" s="21"/>
      <c r="F540" s="21"/>
      <c r="G540" s="21"/>
      <c r="H540" s="21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3:21" ht="12.75">
      <c r="C541" s="21"/>
      <c r="D541" s="21"/>
      <c r="E541" s="21"/>
      <c r="F541" s="21"/>
      <c r="G541" s="21"/>
      <c r="H541" s="21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3:21" ht="12.75">
      <c r="C542" s="21"/>
      <c r="D542" s="21"/>
      <c r="E542" s="21"/>
      <c r="F542" s="21"/>
      <c r="G542" s="21"/>
      <c r="H542" s="21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3:21" ht="12.75">
      <c r="C543" s="21"/>
      <c r="D543" s="21"/>
      <c r="E543" s="21"/>
      <c r="F543" s="21"/>
      <c r="G543" s="21"/>
      <c r="H543" s="21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3:21" ht="12.75">
      <c r="C544" s="21"/>
      <c r="D544" s="21"/>
      <c r="E544" s="21"/>
      <c r="F544" s="21"/>
      <c r="G544" s="21"/>
      <c r="H544" s="21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3:21" ht="12.75">
      <c r="C545" s="21"/>
      <c r="D545" s="21"/>
      <c r="E545" s="21"/>
      <c r="F545" s="21"/>
      <c r="G545" s="21"/>
      <c r="H545" s="21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3:21" ht="12.75">
      <c r="C546" s="21"/>
      <c r="D546" s="21"/>
      <c r="E546" s="21"/>
      <c r="F546" s="21"/>
      <c r="G546" s="21"/>
      <c r="H546" s="21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3:21" ht="12.75">
      <c r="C547" s="21"/>
      <c r="D547" s="21"/>
      <c r="E547" s="21"/>
      <c r="F547" s="21"/>
      <c r="G547" s="21"/>
      <c r="H547" s="21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3:21" ht="12.75">
      <c r="C548" s="21"/>
      <c r="D548" s="21"/>
      <c r="E548" s="21"/>
      <c r="F548" s="21"/>
      <c r="G548" s="21"/>
      <c r="H548" s="21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3:21" ht="12.75">
      <c r="C549" s="21"/>
      <c r="D549" s="21"/>
      <c r="E549" s="21"/>
      <c r="F549" s="21"/>
      <c r="G549" s="21"/>
      <c r="H549" s="21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3:21" ht="12.75">
      <c r="C550" s="21"/>
      <c r="D550" s="21"/>
      <c r="E550" s="21"/>
      <c r="F550" s="21"/>
      <c r="G550" s="21"/>
      <c r="H550" s="21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3:21" ht="12.75">
      <c r="C551" s="21"/>
      <c r="D551" s="21"/>
      <c r="E551" s="21"/>
      <c r="F551" s="21"/>
      <c r="G551" s="21"/>
      <c r="H551" s="21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3:21" ht="12.75">
      <c r="C552" s="21"/>
      <c r="D552" s="21"/>
      <c r="E552" s="21"/>
      <c r="F552" s="21"/>
      <c r="G552" s="21"/>
      <c r="H552" s="21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3:21" ht="12.75">
      <c r="C553" s="21"/>
      <c r="D553" s="21"/>
      <c r="E553" s="21"/>
      <c r="F553" s="21"/>
      <c r="G553" s="21"/>
      <c r="H553" s="21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3:21" ht="12.75">
      <c r="C554" s="21"/>
      <c r="D554" s="21"/>
      <c r="E554" s="21"/>
      <c r="F554" s="21"/>
      <c r="G554" s="21"/>
      <c r="H554" s="21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3:21" ht="12.75">
      <c r="C555" s="21"/>
      <c r="D555" s="21"/>
      <c r="E555" s="21"/>
      <c r="F555" s="21"/>
      <c r="G555" s="21"/>
      <c r="H555" s="21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3:21" ht="12.75">
      <c r="C556" s="21"/>
      <c r="D556" s="21"/>
      <c r="E556" s="21"/>
      <c r="F556" s="21"/>
      <c r="G556" s="21"/>
      <c r="H556" s="21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3:21" ht="12.75">
      <c r="C557" s="21"/>
      <c r="D557" s="21"/>
      <c r="E557" s="21"/>
      <c r="F557" s="21"/>
      <c r="G557" s="21"/>
      <c r="H557" s="21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3:21" ht="12.75">
      <c r="C558" s="21"/>
      <c r="D558" s="21"/>
      <c r="E558" s="21"/>
      <c r="F558" s="21"/>
      <c r="G558" s="21"/>
      <c r="H558" s="21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3:21" ht="12.75">
      <c r="C559" s="21"/>
      <c r="D559" s="21"/>
      <c r="E559" s="21"/>
      <c r="F559" s="21"/>
      <c r="G559" s="21"/>
      <c r="H559" s="21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3:21" ht="12.75">
      <c r="C560" s="21"/>
      <c r="D560" s="21"/>
      <c r="E560" s="21"/>
      <c r="F560" s="21"/>
      <c r="G560" s="21"/>
      <c r="H560" s="21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3:21" ht="12.75">
      <c r="C561" s="21"/>
      <c r="D561" s="21"/>
      <c r="E561" s="21"/>
      <c r="F561" s="21"/>
      <c r="G561" s="21"/>
      <c r="H561" s="21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3:21" ht="12.75">
      <c r="C562" s="21"/>
      <c r="D562" s="21"/>
      <c r="E562" s="21"/>
      <c r="F562" s="21"/>
      <c r="G562" s="21"/>
      <c r="H562" s="21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3:21" ht="12.75">
      <c r="C563" s="21"/>
      <c r="D563" s="21"/>
      <c r="E563" s="21"/>
      <c r="F563" s="21"/>
      <c r="G563" s="21"/>
      <c r="H563" s="21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3:21" ht="12.75">
      <c r="C564" s="21"/>
      <c r="D564" s="21"/>
      <c r="E564" s="21"/>
      <c r="F564" s="21"/>
      <c r="G564" s="21"/>
      <c r="H564" s="21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3:21" ht="12.75">
      <c r="C565" s="21"/>
      <c r="D565" s="21"/>
      <c r="E565" s="21"/>
      <c r="F565" s="21"/>
      <c r="G565" s="21"/>
      <c r="H565" s="21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3:21" ht="12.75">
      <c r="C566" s="21"/>
      <c r="D566" s="21"/>
      <c r="E566" s="21"/>
      <c r="F566" s="21"/>
      <c r="G566" s="21"/>
      <c r="H566" s="21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3:21" ht="12.75">
      <c r="C567" s="21"/>
      <c r="D567" s="21"/>
      <c r="E567" s="21"/>
      <c r="F567" s="21"/>
      <c r="G567" s="21"/>
      <c r="H567" s="21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3:21" ht="12.75">
      <c r="C568" s="21"/>
      <c r="D568" s="21"/>
      <c r="E568" s="21"/>
      <c r="F568" s="21"/>
      <c r="G568" s="21"/>
      <c r="H568" s="21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3:21" ht="12.75">
      <c r="C569" s="21"/>
      <c r="D569" s="21"/>
      <c r="E569" s="21"/>
      <c r="F569" s="21"/>
      <c r="G569" s="21"/>
      <c r="H569" s="21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3:21" ht="12.75">
      <c r="C570" s="21"/>
      <c r="D570" s="21"/>
      <c r="E570" s="21"/>
      <c r="F570" s="21"/>
      <c r="G570" s="21"/>
      <c r="H570" s="21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3:8" ht="12.75">
      <c r="C571" s="21"/>
      <c r="D571" s="21"/>
      <c r="E571" s="21"/>
      <c r="F571" s="21"/>
      <c r="G571" s="21"/>
      <c r="H571" s="21"/>
    </row>
  </sheetData>
  <sheetProtection/>
  <mergeCells count="26">
    <mergeCell ref="A17:A18"/>
    <mergeCell ref="B17:B18"/>
    <mergeCell ref="F9:H9"/>
    <mergeCell ref="C9:D9"/>
    <mergeCell ref="A8:A9"/>
    <mergeCell ref="B8:B9"/>
    <mergeCell ref="H101:H102"/>
    <mergeCell ref="H36:H37"/>
    <mergeCell ref="G101:G102"/>
    <mergeCell ref="E101:E102"/>
    <mergeCell ref="G36:G37"/>
    <mergeCell ref="F101:F102"/>
    <mergeCell ref="F36:F37"/>
    <mergeCell ref="A36:A37"/>
    <mergeCell ref="B36:B37"/>
    <mergeCell ref="C36:C37"/>
    <mergeCell ref="E36:E37"/>
    <mergeCell ref="D36:D37"/>
    <mergeCell ref="A101:A102"/>
    <mergeCell ref="B101:B102"/>
    <mergeCell ref="C101:C102"/>
    <mergeCell ref="D101:D102"/>
    <mergeCell ref="A3:G3"/>
    <mergeCell ref="A4:G4"/>
    <mergeCell ref="A5:G5"/>
    <mergeCell ref="A6:G6"/>
  </mergeCells>
  <printOptions/>
  <pageMargins left="0.984251968503937" right="0.3937007874015748" top="0.7874015748031497" bottom="0.3937007874015748" header="0.4330708661417323" footer="0.5118110236220472"/>
  <pageSetup horizontalDpi="600" verticalDpi="600" orientation="landscape" paperSize="9" r:id="rId1"/>
  <headerFooter alignWithMargins="0">
    <oddHeader>&amp;R&amp;"Arial Cyr,полужирный курсив"Крапивинский район&amp;"Arial Cyr,обычный"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</dc:creator>
  <cp:keywords/>
  <dc:description/>
  <cp:lastModifiedBy>Girls</cp:lastModifiedBy>
  <cp:lastPrinted>2011-11-24T03:28:36Z</cp:lastPrinted>
  <dcterms:created xsi:type="dcterms:W3CDTF">2010-05-26T08:50:10Z</dcterms:created>
  <dcterms:modified xsi:type="dcterms:W3CDTF">2011-11-24T03:28:44Z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979944383</vt:i4>
  </property>
  <property fmtid="{D5CDD505-2E9C-101B-9397-08002B2CF9AE}" pid="3" name="_EmailSubject">
    <vt:lpwstr/>
  </property>
  <property fmtid="{D5CDD505-2E9C-101B-9397-08002B2CF9AE}" pid="4" name="_AuthorEmail">
    <vt:lpwstr>Molchanova_Olga@ako.ru</vt:lpwstr>
  </property>
  <property fmtid="{D5CDD505-2E9C-101B-9397-08002B2CF9AE}" pid="5" name="_AuthorEmailDisplayName">
    <vt:lpwstr>Молчанова Ольга И.</vt:lpwstr>
  </property>
  <property fmtid="{D5CDD505-2E9C-101B-9397-08002B2CF9AE}" pid="6" name="_ReviewingToolsShownOnce">
    <vt:lpwstr/>
  </property>
</Properties>
</file>